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ntsler\Desktop\ПРЕЗИДЕНТСКИЙ ГРАНТ_2021\Примеры городов\"/>
    </mc:Choice>
  </mc:AlternateContent>
  <workbookProtection lockStructure="1"/>
  <bookViews>
    <workbookView showHorizontalScroll="0" showVerticalScroll="0" showSheetTabs="0" xWindow="0" yWindow="0" windowWidth="27705" windowHeight="11355"/>
  </bookViews>
  <sheets>
    <sheet name="Финмодель_форма для заполнен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K34" i="2"/>
  <c r="J34" i="2"/>
  <c r="H28" i="2"/>
  <c r="G28" i="2"/>
  <c r="F28" i="2"/>
  <c r="E28" i="2"/>
  <c r="D28" i="2"/>
  <c r="C28" i="2"/>
  <c r="B28" i="2"/>
  <c r="I34" i="2"/>
  <c r="B26" i="2"/>
  <c r="B29" i="2" s="1"/>
  <c r="C26" i="2" l="1"/>
  <c r="D26" i="2" s="1"/>
  <c r="E26" i="2" s="1"/>
  <c r="C5" i="2"/>
  <c r="C6" i="2"/>
  <c r="D6" i="2" s="1"/>
  <c r="E6" i="2" s="1"/>
  <c r="C7" i="2"/>
  <c r="D7" i="2" s="1"/>
  <c r="C8" i="2"/>
  <c r="D8" i="2" s="1"/>
  <c r="E8" i="2" s="1"/>
  <c r="B11" i="2"/>
  <c r="B14" i="2" s="1"/>
  <c r="B24" i="2" s="1"/>
  <c r="B21" i="2"/>
  <c r="B22" i="2"/>
  <c r="B23" i="2"/>
  <c r="F26" i="2" l="1"/>
  <c r="B25" i="2"/>
  <c r="D5" i="2"/>
  <c r="D11" i="2" s="1"/>
  <c r="K9" i="2"/>
  <c r="L9" i="2" s="1"/>
  <c r="C23" i="2"/>
  <c r="C22" i="2"/>
  <c r="C21" i="2"/>
  <c r="C11" i="2"/>
  <c r="D22" i="2"/>
  <c r="E7" i="2"/>
  <c r="F6" i="2"/>
  <c r="E21" i="2"/>
  <c r="F8" i="2"/>
  <c r="E23" i="2"/>
  <c r="D23" i="2"/>
  <c r="D21" i="2"/>
  <c r="B13" i="2"/>
  <c r="B27" i="2" s="1"/>
  <c r="E5" i="2" l="1"/>
  <c r="E11" i="2" s="1"/>
  <c r="G26" i="2"/>
  <c r="H26" i="2" s="1"/>
  <c r="C13" i="2"/>
  <c r="C27" i="2" s="1"/>
  <c r="C14" i="2"/>
  <c r="C24" i="2" s="1"/>
  <c r="F23" i="2"/>
  <c r="G8" i="2"/>
  <c r="E22" i="2"/>
  <c r="F7" i="2"/>
  <c r="D13" i="2"/>
  <c r="D14" i="2"/>
  <c r="D24" i="2" s="1"/>
  <c r="F21" i="2"/>
  <c r="G6" i="2"/>
  <c r="F5" i="2" l="1"/>
  <c r="G5" i="2" s="1"/>
  <c r="D25" i="2"/>
  <c r="C25" i="2"/>
  <c r="C29" i="2" s="1"/>
  <c r="D27" i="2"/>
  <c r="E14" i="2"/>
  <c r="E24" i="2" s="1"/>
  <c r="E13" i="2"/>
  <c r="H8" i="2"/>
  <c r="G23" i="2"/>
  <c r="G7" i="2"/>
  <c r="F22" i="2"/>
  <c r="G21" i="2"/>
  <c r="H6" i="2"/>
  <c r="F11" i="2" l="1"/>
  <c r="F14" i="2" s="1"/>
  <c r="D29" i="2"/>
  <c r="E25" i="2"/>
  <c r="E27" i="2"/>
  <c r="G22" i="2"/>
  <c r="H7" i="2"/>
  <c r="G11" i="2"/>
  <c r="H5" i="2"/>
  <c r="I6" i="2"/>
  <c r="H21" i="2"/>
  <c r="I8" i="2"/>
  <c r="H23" i="2"/>
  <c r="F13" i="2" l="1"/>
  <c r="E29" i="2"/>
  <c r="F24" i="2"/>
  <c r="F25" i="2"/>
  <c r="F27" i="2"/>
  <c r="H11" i="2"/>
  <c r="I5" i="2"/>
  <c r="J6" i="2"/>
  <c r="I21" i="2"/>
  <c r="G13" i="2"/>
  <c r="G14" i="2"/>
  <c r="J8" i="2"/>
  <c r="I23" i="2"/>
  <c r="H22" i="2"/>
  <c r="I7" i="2"/>
  <c r="F29" i="2" l="1"/>
  <c r="G24" i="2"/>
  <c r="G25" i="2"/>
  <c r="I11" i="2"/>
  <c r="I25" i="2"/>
  <c r="I24" i="2"/>
  <c r="I48" i="2"/>
  <c r="I42" i="2"/>
  <c r="I40" i="2"/>
  <c r="I46" i="2"/>
  <c r="G27" i="2"/>
  <c r="J21" i="2"/>
  <c r="K6" i="2"/>
  <c r="J23" i="2"/>
  <c r="K8" i="2"/>
  <c r="J5" i="2"/>
  <c r="J7" i="2"/>
  <c r="I22" i="2"/>
  <c r="H13" i="2"/>
  <c r="H14" i="2"/>
  <c r="G29" i="2" l="1"/>
  <c r="H25" i="2"/>
  <c r="H24" i="2"/>
  <c r="J11" i="2"/>
  <c r="J25" i="2"/>
  <c r="J24" i="2"/>
  <c r="J42" i="2"/>
  <c r="J48" i="2"/>
  <c r="I47" i="2"/>
  <c r="I41" i="2"/>
  <c r="J40" i="2"/>
  <c r="J46" i="2"/>
  <c r="H27" i="2"/>
  <c r="L8" i="2"/>
  <c r="L23" i="2" s="1"/>
  <c r="K23" i="2"/>
  <c r="I26" i="2"/>
  <c r="L6" i="2"/>
  <c r="L21" i="2" s="1"/>
  <c r="K21" i="2"/>
  <c r="K7" i="2"/>
  <c r="J22" i="2"/>
  <c r="K5" i="2"/>
  <c r="H29" i="2" l="1"/>
  <c r="I29" i="2" s="1"/>
  <c r="J29" i="2" s="1"/>
  <c r="K11" i="2"/>
  <c r="K24" i="2"/>
  <c r="K25" i="2"/>
  <c r="K48" i="2"/>
  <c r="K42" i="2"/>
  <c r="K40" i="2"/>
  <c r="K46" i="2"/>
  <c r="J47" i="2"/>
  <c r="J41" i="2"/>
  <c r="I30" i="2"/>
  <c r="I35" i="2"/>
  <c r="L7" i="2"/>
  <c r="L22" i="2" s="1"/>
  <c r="K22" i="2"/>
  <c r="I13" i="2"/>
  <c r="I27" i="2" s="1"/>
  <c r="J26" i="2"/>
  <c r="L5" i="2"/>
  <c r="L11" i="2" l="1"/>
  <c r="L25" i="2"/>
  <c r="L24" i="2"/>
  <c r="K47" i="2"/>
  <c r="K41" i="2"/>
  <c r="K29" i="2"/>
  <c r="J35" i="2"/>
  <c r="L13" i="2"/>
  <c r="J13" i="2"/>
  <c r="J27" i="2" s="1"/>
  <c r="K26" i="2"/>
  <c r="I36" i="2"/>
  <c r="I43" i="2"/>
  <c r="I49" i="2"/>
  <c r="I31" i="2"/>
  <c r="I80" i="2"/>
  <c r="I83" i="2" s="1"/>
  <c r="I62" i="2"/>
  <c r="I56" i="2"/>
  <c r="I51" i="2"/>
  <c r="L26" i="2" l="1"/>
  <c r="K35" i="2"/>
  <c r="I72" i="2"/>
  <c r="I64" i="2"/>
  <c r="I65" i="2" s="1"/>
  <c r="I66" i="2" s="1"/>
  <c r="I84" i="2"/>
  <c r="I85" i="2" s="1"/>
  <c r="I91" i="2"/>
  <c r="I92" i="2" s="1"/>
  <c r="I93" i="2" s="1"/>
  <c r="I55" i="2"/>
  <c r="I54" i="2"/>
  <c r="I53" i="2"/>
  <c r="J51" i="2"/>
  <c r="J56" i="2"/>
  <c r="J62" i="2"/>
  <c r="J36" i="2"/>
  <c r="J43" i="2"/>
  <c r="J49" i="2"/>
  <c r="J80" i="2"/>
  <c r="J83" i="2" s="1"/>
  <c r="J84" i="2" s="1"/>
  <c r="J85" i="2" s="1"/>
  <c r="I60" i="2"/>
  <c r="I58" i="2"/>
  <c r="I59" i="2"/>
  <c r="K13" i="2"/>
  <c r="K27" i="2" s="1"/>
  <c r="K56" i="2" l="1"/>
  <c r="K51" i="2"/>
  <c r="K80" i="2"/>
  <c r="K83" i="2" s="1"/>
  <c r="K84" i="2" s="1"/>
  <c r="K85" i="2" s="1"/>
  <c r="K43" i="2"/>
  <c r="K36" i="2"/>
  <c r="K62" i="2"/>
  <c r="K64" i="2" s="1"/>
  <c r="K65" i="2" s="1"/>
  <c r="K66" i="2" s="1"/>
  <c r="K49" i="2"/>
  <c r="I73" i="2"/>
  <c r="I74" i="2" s="1"/>
  <c r="J58" i="2"/>
  <c r="J60" i="2"/>
  <c r="J59" i="2"/>
  <c r="J55" i="2"/>
  <c r="J54" i="2"/>
  <c r="J53" i="2"/>
  <c r="K58" i="2"/>
  <c r="K60" i="2"/>
  <c r="I95" i="2"/>
  <c r="I88" i="2"/>
  <c r="J91" i="2"/>
  <c r="J92" i="2" s="1"/>
  <c r="J93" i="2" s="1"/>
  <c r="J72" i="2"/>
  <c r="J64" i="2"/>
  <c r="J65" i="2" s="1"/>
  <c r="J66" i="2" s="1"/>
  <c r="I68" i="2"/>
  <c r="K55" i="2" l="1"/>
  <c r="K59" i="2"/>
  <c r="J73" i="2"/>
  <c r="J74" i="2" s="1"/>
  <c r="K54" i="2"/>
  <c r="K53" i="2"/>
  <c r="K91" i="2"/>
  <c r="K92" i="2" s="1"/>
  <c r="K72" i="2"/>
  <c r="I96" i="2"/>
  <c r="I77" i="2"/>
  <c r="I76" i="2"/>
  <c r="I78" i="2"/>
  <c r="I69" i="2"/>
  <c r="I87" i="2"/>
  <c r="I97" i="2"/>
  <c r="I70" i="2"/>
  <c r="I89" i="2"/>
  <c r="J88" i="2"/>
  <c r="K68" i="2"/>
  <c r="J96" i="2"/>
  <c r="K88" i="2"/>
  <c r="J68" i="2"/>
  <c r="K93" i="2" l="1"/>
  <c r="K96" i="2" s="1"/>
  <c r="J76" i="2"/>
  <c r="K73" i="2"/>
  <c r="K89" i="2"/>
  <c r="K97" i="2"/>
  <c r="J97" i="2"/>
  <c r="J95" i="2"/>
  <c r="J77" i="2"/>
  <c r="K69" i="2"/>
  <c r="J69" i="2"/>
  <c r="J78" i="2"/>
  <c r="J87" i="2"/>
  <c r="K95" i="2"/>
  <c r="J70" i="2"/>
  <c r="K87" i="2"/>
  <c r="K70" i="2"/>
  <c r="J89" i="2"/>
  <c r="K74" i="2" l="1"/>
  <c r="K76" i="2" l="1"/>
  <c r="K77" i="2"/>
  <c r="K78" i="2"/>
</calcChain>
</file>

<file path=xl/sharedStrings.xml><?xml version="1.0" encoding="utf-8"?>
<sst xmlns="http://schemas.openxmlformats.org/spreadsheetml/2006/main" count="100" uniqueCount="79">
  <si>
    <t xml:space="preserve">за 3-комнатной квратиры </t>
  </si>
  <si>
    <t xml:space="preserve">за 2-комнатной квартиры </t>
  </si>
  <si>
    <t xml:space="preserve">за 1-комнатную квартиру </t>
  </si>
  <si>
    <t xml:space="preserve">5.2.4. Размер ежемесячного платежа на КР с учетом доп взноса, руб. </t>
  </si>
  <si>
    <t>5.2.3. Размер дополнительного взноса на КР на 36 месяцев, руб./кв м в месяц</t>
  </si>
  <si>
    <t>5.2.2. Достаточность фактических ежемесячных поступлений для погашения кредита, руб.</t>
  </si>
  <si>
    <t>5.2.1. Сумма ежемесячного платежа для погашения кредита, руб.</t>
  </si>
  <si>
    <t xml:space="preserve">5.2. Срок кредита - 36 месяцев </t>
  </si>
  <si>
    <t xml:space="preserve">5.1.4. Размер ежемесячного платежа на КР с учетом доп взноса: </t>
  </si>
  <si>
    <t>5.1.3. Размер доп взноса на КР на 12 месяцев, руб./кв м в месяц</t>
  </si>
  <si>
    <t xml:space="preserve">5.1.2. Достаточность фактических ежемесячных поступлений для погашения задолженности по кредиту, руб. </t>
  </si>
  <si>
    <t>5.1.1. Сумма ежемесячного платежа для погашения кредита, руб.</t>
  </si>
  <si>
    <t xml:space="preserve">5.1. Срок кредита - 12 месяцев </t>
  </si>
  <si>
    <t xml:space="preserve">Процентная ставка по кредиту, % годовых </t>
  </si>
  <si>
    <t xml:space="preserve">Сумма кредита, руб. </t>
  </si>
  <si>
    <t xml:space="preserve">5. Привлечение кредита </t>
  </si>
  <si>
    <t xml:space="preserve">4.2.4. Размер ежемесячного платежа за КР с учетом доп взноса, руб.: </t>
  </si>
  <si>
    <t>4.2.3. Размер доп взноса на КР на 12 месяцев, руб./кв. м в месяц</t>
  </si>
  <si>
    <t xml:space="preserve">4.2.2. Достаточность фактических ежемесячных поступлений для погашения задолженности перед подрядчиком, руб. </t>
  </si>
  <si>
    <t>4.2.1. Сумма ежемесячного платежа в счет погашения задолженности перед подрядчиком, руб.</t>
  </si>
  <si>
    <t>4.2. Период рассрочки - 12 месяцев</t>
  </si>
  <si>
    <t xml:space="preserve">4.1.4. Размер ежемесячного платежа за КР с учетом доп взноса, руб.: </t>
  </si>
  <si>
    <t>4.1.3. Размер доп взноса на КР на 6 месяцев, руб./кв. м в месяц</t>
  </si>
  <si>
    <t xml:space="preserve">4.1.2. Достаточность фактических ежемесячных поступлений для погашения задолженности перед подрядчиком, руб. </t>
  </si>
  <si>
    <t>4.1.1. Сумма ежемесячного платежа в счет погашения задолженности перед подрядчиком, руб.</t>
  </si>
  <si>
    <t>4.1. Период рассрочки - 6 месяцев</t>
  </si>
  <si>
    <t xml:space="preserve">Сумма, выплачиваемая в рассрочку, руб. </t>
  </si>
  <si>
    <t>4. Рассрочка, предоставленная подрядчиком</t>
  </si>
  <si>
    <t>3.2.2. Размер ежемесячного платежа за КР с учетом доп взноса, руб.:</t>
  </si>
  <si>
    <t>3.2. Размер доп взноса на период в 6 месяцев, руб./мес.</t>
  </si>
  <si>
    <t>3.1.2. Размер ежемесячного платежа за КР с учетом доп взноса, руб.:</t>
  </si>
  <si>
    <t>3.1. Размер доп взноса на период в 3 месяца, руб./ мес</t>
  </si>
  <si>
    <t>3. Установление ежемесячного дополнительного взноса на КР  на определенный период  для покрытия дефицита</t>
  </si>
  <si>
    <t xml:space="preserve">2.2.2. Размер  дефицита средств с учетом авансовых платежей, руб. </t>
  </si>
  <si>
    <t xml:space="preserve">за 3-комнатную квартиру </t>
  </si>
  <si>
    <t xml:space="preserve">за 2-комнатноую квартиру </t>
  </si>
  <si>
    <t>2.2.1. Размер ежемесячного платежа за КР в течение 6 месяцев текущего года с учетом авансовых платежей:</t>
  </si>
  <si>
    <t xml:space="preserve">2.2. Внесение авансом платежей на КР за 6 месяцев следующего года, руб.  </t>
  </si>
  <si>
    <t xml:space="preserve">2.1.2. Размер дефицита средств с учетом авансовых платежей, руб. </t>
  </si>
  <si>
    <t xml:space="preserve">за 2-комнатную квартиру </t>
  </si>
  <si>
    <t>2.1.1. Размер ежемесячного платежа за КР в течение 3 месяцев текущего года с учетом авансовых платежей:</t>
  </si>
  <si>
    <t xml:space="preserve">2.1. Внесение авансом платежей за КР за 3 месяца следующего года, руб.  </t>
  </si>
  <si>
    <t xml:space="preserve">2. Внесение авансового платежа по взносам на КР в счет платежей следующего года:  </t>
  </si>
  <si>
    <t xml:space="preserve">1.3. Количество месяцев для полного погашения дефицита с учетом фактического уровня собираемости платежей на КР  </t>
  </si>
  <si>
    <t xml:space="preserve">1.2. Размер дефицита средств на спецсчете в зависимости от года проведения КР, руб. </t>
  </si>
  <si>
    <t xml:space="preserve">1.1. Стоимость работ в зависимости от года проведения КР, руб. </t>
  </si>
  <si>
    <t>1. Перенос срока выполнения работы в пределах планируемого краткосрочного периода</t>
  </si>
  <si>
    <t>Блок С. Варианты привлечения средств для финансирования КР (восполнения дефицита)</t>
  </si>
  <si>
    <r>
      <t>5. Размер задолженности собственников помещений по взносам на КР</t>
    </r>
    <r>
      <rPr>
        <i/>
        <sz val="11"/>
        <color theme="1"/>
        <rFont val="Times New Roman"/>
        <family val="1"/>
        <charset val="204"/>
      </rPr>
      <t xml:space="preserve"> накопленным итогом, руб. </t>
    </r>
  </si>
  <si>
    <t xml:space="preserve">4. Общий объем средств, поступивших на спецсчет, накопленным итогом на конец года, руб.  </t>
  </si>
  <si>
    <t xml:space="preserve">3. Годовые поступления на спецсчет с учетом уровня собираемости, руб. </t>
  </si>
  <si>
    <t xml:space="preserve">2. Ежемесячные поступления на спецсчет с учетом уровня собираемости, руб. </t>
  </si>
  <si>
    <t>1. Размер ежемесячного платежа на  КР, руб.:</t>
  </si>
  <si>
    <t xml:space="preserve">Блок В. Расчетные показатели </t>
  </si>
  <si>
    <t>10. Уровень собираемости взносов на КР, %</t>
  </si>
  <si>
    <t xml:space="preserve">9. Годовой размер задолженности по взносам на КР, руб. </t>
  </si>
  <si>
    <t xml:space="preserve">8. Годовой размер уплаченных взносов на КР, руб.  </t>
  </si>
  <si>
    <t xml:space="preserve">7. Годовой размер начисленных взносов на КР, руб. </t>
  </si>
  <si>
    <t xml:space="preserve">6. Прогноз индекса потребительских цен, % </t>
  </si>
  <si>
    <t>5. Установленный минимальный размер взноса на КР, руб./кв. м в месяц</t>
  </si>
  <si>
    <t xml:space="preserve">4. Площадь 3-комнатной квартиры, кв. м </t>
  </si>
  <si>
    <t xml:space="preserve">3. Площадь 2-комнатной квартиры, кв. м </t>
  </si>
  <si>
    <t>2. Площадь 1-комнатной квартиры, кв. м</t>
  </si>
  <si>
    <t>1. Площадь всех помещений в МКД, на которую начисляются взносы на КР, кв. м</t>
  </si>
  <si>
    <t xml:space="preserve">Блок А. Исходные данные </t>
  </si>
  <si>
    <t>2025 (прогноз)</t>
  </si>
  <si>
    <t xml:space="preserve">2024 (прогноз) </t>
  </si>
  <si>
    <t xml:space="preserve">2023 (прогноз) </t>
  </si>
  <si>
    <t>2022 (прогноз)</t>
  </si>
  <si>
    <t xml:space="preserve">11. Дополнительные годовые поступления на спецсчет (процетные платежи по депозиту, плата за сдачу в аренду общедомового имущества и др.), руб. </t>
  </si>
  <si>
    <t>6. Расходы на работы по КР, руб.</t>
  </si>
  <si>
    <t xml:space="preserve">14. Цепные индексы-дефляторы для прогноза стоимости работ по КР в будущие периоды </t>
  </si>
  <si>
    <r>
      <t>7. Остаток средств на спецсчете на конец года (</t>
    </r>
    <r>
      <rPr>
        <i/>
        <sz val="11"/>
        <color theme="1"/>
        <rFont val="Times New Roman"/>
        <family val="1"/>
        <charset val="204"/>
      </rPr>
      <t>с учетом расходования средств на проведение работ по КР), руб.</t>
    </r>
  </si>
  <si>
    <t>8. Оценка достаточности средств на проведение работы по КР (дефицит(-) / профицит(+) средств), руб.</t>
  </si>
  <si>
    <t xml:space="preserve">9.Размер дефицита (-) / профицита (+) средств при полном погашении задолженности по взносам на КР, руб.  </t>
  </si>
  <si>
    <t xml:space="preserve">13. Капитальный ремонт крыши, руб. </t>
  </si>
  <si>
    <r>
      <t xml:space="preserve">12. Стоимость выполненных работ по КР предыдущие периоды, руб. (1-ая работа выполнена </t>
    </r>
    <r>
      <rPr>
        <i/>
        <u/>
        <sz val="11"/>
        <color theme="1"/>
        <rFont val="Times New Roman"/>
        <family val="1"/>
      </rPr>
      <t>не ранее 2016 года</t>
    </r>
    <r>
      <rPr>
        <sz val="11"/>
        <color theme="1"/>
        <rFont val="Times New Roman"/>
        <family val="1"/>
      </rPr>
      <t xml:space="preserve">) </t>
    </r>
  </si>
  <si>
    <t xml:space="preserve">Краткосрочное планирование капитального ремонта МКД. ПРИМЕР: Кировская область, г. Котельнич </t>
  </si>
  <si>
    <t xml:space="preserve">Пример подготовлен  совместно с ООО "Центр организации капитального ремонта", г. Киров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</si>
</sst>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₽&quot;;[Red]\-#,##0.00\ &quot;₽&quot;"/>
    <numFmt numFmtId="43" formatCode="_-* #,##0.00\ _₽_-;\-* #,##0.00\ _₽_-;_-* &quot;-&quot;??\ _₽_-;_-@_-"/>
    <numFmt numFmtId="164" formatCode="0.0%"/>
    <numFmt numFmtId="165" formatCode="_-* #,##0\ _₽_-;\-* #,##0\ _₽_-;_-* &quot;-&quot;??\ _₽_-;_-@_-"/>
    <numFmt numFmtId="166" formatCode="#,##0.0"/>
    <numFmt numFmtId="167" formatCode="0.0"/>
  </numFmts>
  <fonts count="22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8" tint="-0.249977111117893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0"/>
      <name val="Times New Roman"/>
      <family val="1"/>
      <charset val="204"/>
    </font>
    <font>
      <sz val="11"/>
      <color theme="8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i/>
      <sz val="11"/>
      <color theme="8" tint="-0.24997711111789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2"/>
      <color theme="1"/>
      <name val="Times New Roman"/>
      <family val="1"/>
    </font>
    <font>
      <i/>
      <u/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Alignment="1">
      <alignment horizontal="center" vertical="center"/>
    </xf>
    <xf numFmtId="0" fontId="2" fillId="0" borderId="1" xfId="1" applyFont="1" applyBorder="1"/>
    <xf numFmtId="0" fontId="2" fillId="2" borderId="1" xfId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wrapText="1" indent="2"/>
    </xf>
    <xf numFmtId="0" fontId="2" fillId="2" borderId="0" xfId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left" wrapText="1" indent="2"/>
    </xf>
    <xf numFmtId="3" fontId="2" fillId="2" borderId="0" xfId="1" applyNumberFormat="1" applyFont="1" applyFill="1" applyBorder="1" applyAlignment="1">
      <alignment horizontal="center" vertical="center" wrapText="1"/>
    </xf>
    <xf numFmtId="3" fontId="2" fillId="3" borderId="0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8" fontId="2" fillId="3" borderId="0" xfId="1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left" wrapText="1" indent="1"/>
    </xf>
    <xf numFmtId="1" fontId="2" fillId="2" borderId="0" xfId="1" applyNumberFormat="1" applyFont="1" applyFill="1" applyBorder="1" applyAlignment="1">
      <alignment horizontal="center" vertical="center"/>
    </xf>
    <xf numFmtId="1" fontId="2" fillId="3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/>
    <xf numFmtId="0" fontId="2" fillId="2" borderId="0" xfId="1" applyFont="1" applyFill="1" applyBorder="1" applyAlignment="1">
      <alignment horizontal="center" vertical="center" wrapText="1"/>
    </xf>
    <xf numFmtId="164" fontId="2" fillId="3" borderId="0" xfId="2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left" vertical="center" wrapText="1" indent="1"/>
    </xf>
    <xf numFmtId="0" fontId="4" fillId="0" borderId="0" xfId="1" applyFont="1" applyBorder="1"/>
    <xf numFmtId="0" fontId="4" fillId="0" borderId="0" xfId="1" applyFont="1" applyBorder="1" applyAlignment="1"/>
    <xf numFmtId="0" fontId="4" fillId="2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left" wrapText="1" indent="1"/>
    </xf>
    <xf numFmtId="2" fontId="2" fillId="2" borderId="0" xfId="2" applyNumberFormat="1" applyFont="1" applyFill="1" applyBorder="1" applyAlignment="1">
      <alignment horizontal="center" vertical="center" wrapText="1"/>
    </xf>
    <xf numFmtId="2" fontId="2" fillId="3" borderId="0" xfId="2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164" fontId="6" fillId="2" borderId="0" xfId="2" applyNumberFormat="1" applyFont="1" applyFill="1" applyBorder="1" applyAlignment="1">
      <alignment horizontal="center" vertical="center" wrapText="1"/>
    </xf>
    <xf numFmtId="164" fontId="6" fillId="3" borderId="0" xfId="2" applyNumberFormat="1" applyFont="1" applyFill="1" applyBorder="1" applyAlignment="1">
      <alignment horizontal="center" vertical="center" wrapText="1"/>
    </xf>
    <xf numFmtId="3" fontId="7" fillId="2" borderId="0" xfId="1" applyNumberFormat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 wrapText="1"/>
    </xf>
    <xf numFmtId="1" fontId="2" fillId="3" borderId="0" xfId="1" applyNumberFormat="1" applyFont="1" applyFill="1" applyBorder="1" applyAlignment="1">
      <alignment horizontal="center" vertical="center" wrapText="1"/>
    </xf>
    <xf numFmtId="165" fontId="2" fillId="3" borderId="0" xfId="1" applyNumberFormat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left" wrapText="1" indent="1"/>
    </xf>
    <xf numFmtId="165" fontId="2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>
      <alignment horizontal="center" vertical="center" wrapText="1"/>
    </xf>
    <xf numFmtId="166" fontId="2" fillId="2" borderId="0" xfId="1" applyNumberFormat="1" applyFont="1" applyFill="1" applyBorder="1" applyAlignment="1">
      <alignment horizontal="center" vertical="center" wrapText="1"/>
    </xf>
    <xf numFmtId="166" fontId="2" fillId="3" borderId="0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center" vertical="center"/>
    </xf>
    <xf numFmtId="3" fontId="3" fillId="3" borderId="0" xfId="1" applyNumberFormat="1" applyFont="1" applyFill="1" applyBorder="1" applyAlignment="1">
      <alignment horizontal="center" vertical="center"/>
    </xf>
    <xf numFmtId="167" fontId="2" fillId="2" borderId="0" xfId="1" applyNumberFormat="1" applyFont="1" applyFill="1" applyBorder="1" applyAlignment="1">
      <alignment horizontal="center" vertical="center" wrapText="1"/>
    </xf>
    <xf numFmtId="167" fontId="2" fillId="3" borderId="0" xfId="1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 wrapText="1" indent="1"/>
    </xf>
    <xf numFmtId="165" fontId="7" fillId="2" borderId="0" xfId="1" applyNumberFormat="1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167" fontId="3" fillId="3" borderId="1" xfId="1" applyNumberFormat="1" applyFont="1" applyFill="1" applyBorder="1" applyAlignment="1">
      <alignment horizontal="center" vertical="center" wrapText="1"/>
    </xf>
    <xf numFmtId="165" fontId="2" fillId="5" borderId="1" xfId="1" applyNumberFormat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left" wrapText="1" indent="3"/>
    </xf>
    <xf numFmtId="167" fontId="3" fillId="2" borderId="0" xfId="1" applyNumberFormat="1" applyFont="1" applyFill="1" applyBorder="1" applyAlignment="1">
      <alignment horizontal="center" vertical="center" wrapText="1"/>
    </xf>
    <xf numFmtId="167" fontId="3" fillId="3" borderId="0" xfId="1" applyNumberFormat="1" applyFont="1" applyFill="1" applyBorder="1" applyAlignment="1">
      <alignment horizontal="center" vertical="center" wrapText="1"/>
    </xf>
    <xf numFmtId="165" fontId="2" fillId="5" borderId="0" xfId="1" applyNumberFormat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left" wrapText="1" indent="3"/>
    </xf>
    <xf numFmtId="0" fontId="2" fillId="5" borderId="3" xfId="1" applyFont="1" applyFill="1" applyBorder="1" applyAlignment="1">
      <alignment horizontal="left" wrapText="1" indent="2"/>
    </xf>
    <xf numFmtId="0" fontId="5" fillId="5" borderId="4" xfId="1" applyFont="1" applyFill="1" applyBorder="1" applyAlignment="1">
      <alignment horizontal="left" wrapText="1" indent="1"/>
    </xf>
    <xf numFmtId="0" fontId="2" fillId="3" borderId="3" xfId="1" applyFont="1" applyFill="1" applyBorder="1" applyAlignment="1">
      <alignment horizontal="left" wrapText="1" indent="3"/>
    </xf>
    <xf numFmtId="2" fontId="2" fillId="2" borderId="0" xfId="1" applyNumberFormat="1" applyFont="1" applyFill="1" applyBorder="1" applyAlignment="1">
      <alignment horizontal="center" vertical="center" wrapText="1"/>
    </xf>
    <xf numFmtId="165" fontId="2" fillId="5" borderId="0" xfId="3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center" vertical="center"/>
    </xf>
    <xf numFmtId="165" fontId="9" fillId="3" borderId="1" xfId="3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165" fontId="2" fillId="3" borderId="0" xfId="3" applyNumberFormat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left" wrapText="1" indent="1"/>
    </xf>
    <xf numFmtId="3" fontId="7" fillId="2" borderId="0" xfId="1" applyNumberFormat="1" applyFont="1" applyFill="1" applyBorder="1" applyAlignment="1">
      <alignment horizontal="center" vertical="center"/>
    </xf>
    <xf numFmtId="3" fontId="7" fillId="3" borderId="0" xfId="1" applyNumberFormat="1" applyFont="1" applyFill="1" applyBorder="1" applyAlignment="1">
      <alignment horizontal="center" vertical="center"/>
    </xf>
    <xf numFmtId="3" fontId="2" fillId="3" borderId="0" xfId="3" applyNumberFormat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left" wrapText="1"/>
    </xf>
    <xf numFmtId="2" fontId="8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3" fontId="2" fillId="3" borderId="1" xfId="3" applyNumberFormat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left" wrapText="1" inden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3" fontId="4" fillId="3" borderId="0" xfId="1" applyNumberFormat="1" applyFont="1" applyFill="1" applyBorder="1" applyAlignment="1">
      <alignment horizontal="center" vertical="center"/>
    </xf>
    <xf numFmtId="3" fontId="4" fillId="3" borderId="0" xfId="1" applyNumberFormat="1" applyFont="1" applyFill="1" applyBorder="1" applyAlignment="1">
      <alignment horizontal="center" vertical="center" wrapText="1"/>
    </xf>
    <xf numFmtId="14" fontId="2" fillId="3" borderId="3" xfId="1" applyNumberFormat="1" applyFont="1" applyFill="1" applyBorder="1" applyAlignment="1">
      <alignment horizontal="left" wrapText="1" indent="1"/>
    </xf>
    <xf numFmtId="0" fontId="7" fillId="2" borderId="0" xfId="1" applyFont="1" applyFill="1" applyBorder="1" applyAlignment="1">
      <alignment horizontal="center" vertical="center"/>
    </xf>
    <xf numFmtId="3" fontId="7" fillId="3" borderId="6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left" wrapText="1"/>
    </xf>
    <xf numFmtId="0" fontId="12" fillId="6" borderId="7" xfId="1" applyFont="1" applyFill="1" applyBorder="1" applyAlignment="1">
      <alignment horizontal="left" wrapText="1"/>
    </xf>
    <xf numFmtId="0" fontId="8" fillId="7" borderId="1" xfId="1" applyFont="1" applyFill="1" applyBorder="1" applyAlignment="1">
      <alignment horizontal="center" vertical="center" wrapText="1"/>
    </xf>
    <xf numFmtId="3" fontId="4" fillId="7" borderId="1" xfId="1" applyNumberFormat="1" applyFont="1" applyFill="1" applyBorder="1" applyAlignment="1">
      <alignment horizontal="center" vertical="center"/>
    </xf>
    <xf numFmtId="3" fontId="7" fillId="8" borderId="1" xfId="1" applyNumberFormat="1" applyFont="1" applyFill="1" applyBorder="1" applyAlignment="1">
      <alignment horizontal="center" vertical="center"/>
    </xf>
    <xf numFmtId="3" fontId="2" fillId="8" borderId="1" xfId="3" applyNumberFormat="1" applyFont="1" applyFill="1" applyBorder="1" applyAlignment="1">
      <alignment horizontal="center" vertical="center" wrapText="1"/>
    </xf>
    <xf numFmtId="0" fontId="9" fillId="8" borderId="8" xfId="1" applyFont="1" applyFill="1" applyBorder="1" applyAlignment="1">
      <alignment horizontal="left" wrapText="1"/>
    </xf>
    <xf numFmtId="0" fontId="8" fillId="7" borderId="0" xfId="1" applyFont="1" applyFill="1" applyBorder="1" applyAlignment="1">
      <alignment horizontal="center" vertical="center" wrapText="1"/>
    </xf>
    <xf numFmtId="3" fontId="4" fillId="7" borderId="0" xfId="1" applyNumberFormat="1" applyFont="1" applyFill="1" applyBorder="1" applyAlignment="1">
      <alignment horizontal="center" vertical="center"/>
    </xf>
    <xf numFmtId="3" fontId="7" fillId="8" borderId="0" xfId="1" applyNumberFormat="1" applyFont="1" applyFill="1" applyBorder="1" applyAlignment="1">
      <alignment horizontal="center" vertical="center"/>
    </xf>
    <xf numFmtId="3" fontId="2" fillId="8" borderId="0" xfId="3" applyNumberFormat="1" applyFont="1" applyFill="1" applyBorder="1" applyAlignment="1">
      <alignment horizontal="center" vertical="center" wrapText="1"/>
    </xf>
    <xf numFmtId="0" fontId="2" fillId="8" borderId="9" xfId="1" applyFont="1" applyFill="1" applyBorder="1" applyAlignment="1">
      <alignment horizontal="left" wrapText="1"/>
    </xf>
    <xf numFmtId="165" fontId="2" fillId="7" borderId="0" xfId="1" applyNumberFormat="1" applyFont="1" applyFill="1" applyBorder="1" applyAlignment="1">
      <alignment horizontal="center" vertical="center"/>
    </xf>
    <xf numFmtId="3" fontId="2" fillId="7" borderId="0" xfId="1" applyNumberFormat="1" applyFont="1" applyFill="1" applyBorder="1" applyAlignment="1">
      <alignment horizontal="center" vertical="center"/>
    </xf>
    <xf numFmtId="3" fontId="2" fillId="8" borderId="0" xfId="1" applyNumberFormat="1" applyFont="1" applyFill="1" applyBorder="1" applyAlignment="1">
      <alignment horizontal="center" vertical="center"/>
    </xf>
    <xf numFmtId="0" fontId="2" fillId="8" borderId="9" xfId="1" applyFont="1" applyFill="1" applyBorder="1" applyAlignment="1">
      <alignment horizontal="left" vertical="center" wrapText="1"/>
    </xf>
    <xf numFmtId="0" fontId="11" fillId="8" borderId="9" xfId="1" applyFont="1" applyFill="1" applyBorder="1" applyAlignment="1">
      <alignment horizontal="left" vertical="center" wrapText="1"/>
    </xf>
    <xf numFmtId="3" fontId="3" fillId="7" borderId="0" xfId="1" applyNumberFormat="1" applyFont="1" applyFill="1" applyBorder="1" applyAlignment="1">
      <alignment horizontal="center" vertical="center"/>
    </xf>
    <xf numFmtId="3" fontId="3" fillId="8" borderId="0" xfId="1" applyNumberFormat="1" applyFont="1" applyFill="1" applyBorder="1" applyAlignment="1">
      <alignment horizontal="center" vertical="center"/>
    </xf>
    <xf numFmtId="0" fontId="13" fillId="8" borderId="9" xfId="1" applyFont="1" applyFill="1" applyBorder="1" applyAlignment="1">
      <alignment horizontal="left" wrapText="1" indent="1"/>
    </xf>
    <xf numFmtId="165" fontId="14" fillId="7" borderId="0" xfId="1" applyNumberFormat="1" applyFont="1" applyFill="1" applyBorder="1" applyAlignment="1">
      <alignment horizontal="center" vertical="center"/>
    </xf>
    <xf numFmtId="165" fontId="2" fillId="8" borderId="0" xfId="1" applyNumberFormat="1" applyFont="1" applyFill="1" applyBorder="1" applyAlignment="1">
      <alignment horizontal="center" vertical="center"/>
    </xf>
    <xf numFmtId="0" fontId="2" fillId="8" borderId="0" xfId="1" applyFont="1" applyFill="1" applyBorder="1" applyAlignment="1">
      <alignment horizontal="center" vertical="center"/>
    </xf>
    <xf numFmtId="0" fontId="13" fillId="8" borderId="9" xfId="1" applyFont="1" applyFill="1" applyBorder="1" applyAlignment="1">
      <alignment horizontal="left" wrapText="1"/>
    </xf>
    <xf numFmtId="0" fontId="2" fillId="0" borderId="10" xfId="1" applyFont="1" applyBorder="1"/>
    <xf numFmtId="165" fontId="2" fillId="7" borderId="10" xfId="3" applyNumberFormat="1" applyFont="1" applyFill="1" applyBorder="1" applyAlignment="1">
      <alignment horizontal="center" vertical="center"/>
    </xf>
    <xf numFmtId="165" fontId="2" fillId="7" borderId="0" xfId="3" applyNumberFormat="1" applyFont="1" applyFill="1" applyBorder="1" applyAlignment="1">
      <alignment horizontal="center" vertical="center"/>
    </xf>
    <xf numFmtId="165" fontId="2" fillId="9" borderId="0" xfId="3" applyNumberFormat="1" applyFont="1" applyFill="1" applyBorder="1" applyAlignment="1">
      <alignment horizontal="center" vertical="center"/>
    </xf>
    <xf numFmtId="0" fontId="12" fillId="10" borderId="11" xfId="1" applyFont="1" applyFill="1" applyBorder="1"/>
    <xf numFmtId="2" fontId="15" fillId="11" borderId="0" xfId="1" applyNumberFormat="1" applyFont="1" applyFill="1" applyBorder="1" applyAlignment="1">
      <alignment horizontal="center" vertical="center"/>
    </xf>
    <xf numFmtId="2" fontId="15" fillId="11" borderId="1" xfId="1" applyNumberFormat="1" applyFont="1" applyFill="1" applyBorder="1" applyAlignment="1">
      <alignment horizontal="center" vertical="center"/>
    </xf>
    <xf numFmtId="2" fontId="15" fillId="12" borderId="1" xfId="1" applyNumberFormat="1" applyFont="1" applyFill="1" applyBorder="1" applyAlignment="1">
      <alignment horizontal="center" vertical="center"/>
    </xf>
    <xf numFmtId="2" fontId="15" fillId="13" borderId="1" xfId="1" applyNumberFormat="1" applyFont="1" applyFill="1" applyBorder="1" applyAlignment="1">
      <alignment horizontal="center" vertical="center"/>
    </xf>
    <xf numFmtId="9" fontId="2" fillId="13" borderId="1" xfId="2" applyFont="1" applyFill="1" applyBorder="1" applyAlignment="1">
      <alignment horizontal="center" vertical="center" wrapText="1"/>
    </xf>
    <xf numFmtId="0" fontId="2" fillId="13" borderId="12" xfId="1" applyFont="1" applyFill="1" applyBorder="1" applyAlignment="1">
      <alignment horizontal="left" vertical="center" wrapText="1"/>
    </xf>
    <xf numFmtId="9" fontId="4" fillId="11" borderId="0" xfId="2" applyFont="1" applyFill="1" applyBorder="1" applyAlignment="1">
      <alignment horizontal="center" vertical="center" wrapText="1"/>
    </xf>
    <xf numFmtId="9" fontId="4" fillId="11" borderId="0" xfId="4" applyFont="1" applyFill="1" applyBorder="1" applyAlignment="1">
      <alignment horizontal="center" vertical="center"/>
    </xf>
    <xf numFmtId="9" fontId="2" fillId="12" borderId="0" xfId="4" applyFont="1" applyFill="1" applyBorder="1" applyAlignment="1">
      <alignment horizontal="center" vertical="center"/>
    </xf>
    <xf numFmtId="0" fontId="2" fillId="13" borderId="13" xfId="1" applyFont="1" applyFill="1" applyBorder="1" applyAlignment="1">
      <alignment horizontal="left" vertical="center" wrapText="1"/>
    </xf>
    <xf numFmtId="3" fontId="2" fillId="11" borderId="0" xfId="3" applyNumberFormat="1" applyFont="1" applyFill="1" applyBorder="1" applyAlignment="1">
      <alignment horizontal="center" vertical="center"/>
    </xf>
    <xf numFmtId="3" fontId="2" fillId="13" borderId="0" xfId="3" applyNumberFormat="1" applyFont="1" applyFill="1" applyBorder="1" applyAlignment="1">
      <alignment horizontal="center" vertical="center"/>
    </xf>
    <xf numFmtId="9" fontId="2" fillId="11" borderId="0" xfId="2" applyFont="1" applyFill="1" applyBorder="1" applyAlignment="1">
      <alignment horizontal="center" vertical="center"/>
    </xf>
    <xf numFmtId="9" fontId="2" fillId="12" borderId="0" xfId="2" applyFont="1" applyFill="1" applyBorder="1" applyAlignment="1">
      <alignment horizontal="center" vertical="center"/>
    </xf>
    <xf numFmtId="9" fontId="2" fillId="13" borderId="0" xfId="2" applyFont="1" applyFill="1" applyBorder="1" applyAlignment="1">
      <alignment horizontal="center" vertical="center"/>
    </xf>
    <xf numFmtId="0" fontId="2" fillId="13" borderId="0" xfId="1" applyFont="1" applyFill="1" applyBorder="1" applyAlignment="1">
      <alignment horizontal="center" vertical="center"/>
    </xf>
    <xf numFmtId="0" fontId="3" fillId="13" borderId="0" xfId="1" applyFont="1" applyFill="1" applyBorder="1" applyAlignment="1">
      <alignment horizontal="center" vertical="center"/>
    </xf>
    <xf numFmtId="0" fontId="17" fillId="13" borderId="0" xfId="1" applyFont="1" applyFill="1" applyBorder="1" applyAlignment="1">
      <alignment horizontal="center" vertical="center"/>
    </xf>
    <xf numFmtId="0" fontId="3" fillId="13" borderId="13" xfId="1" applyFont="1" applyFill="1" applyBorder="1" applyAlignment="1">
      <alignment horizontal="left" vertical="center" wrapText="1"/>
    </xf>
    <xf numFmtId="0" fontId="2" fillId="12" borderId="0" xfId="1" applyFont="1" applyFill="1" applyBorder="1" applyAlignment="1">
      <alignment horizontal="center" vertical="center"/>
    </xf>
    <xf numFmtId="0" fontId="12" fillId="14" borderId="14" xfId="1" applyFont="1" applyFill="1" applyBorder="1"/>
    <xf numFmtId="0" fontId="2" fillId="0" borderId="15" xfId="1" applyFont="1" applyBorder="1" applyAlignment="1">
      <alignment horizontal="center" vertical="center" wrapText="1"/>
    </xf>
    <xf numFmtId="2" fontId="2" fillId="3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horizontal="center" vertical="center"/>
    </xf>
    <xf numFmtId="3" fontId="4" fillId="13" borderId="0" xfId="3" applyNumberFormat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left" wrapText="1" indent="2"/>
    </xf>
    <xf numFmtId="3" fontId="4" fillId="11" borderId="0" xfId="4" applyNumberFormat="1" applyFont="1" applyFill="1" applyBorder="1" applyAlignment="1">
      <alignment horizontal="center" vertical="center"/>
    </xf>
    <xf numFmtId="2" fontId="7" fillId="3" borderId="0" xfId="1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/>
    <xf numFmtId="0" fontId="8" fillId="0" borderId="0" xfId="1" applyFont="1" applyBorder="1"/>
    <xf numFmtId="9" fontId="8" fillId="13" borderId="0" xfId="2" applyFont="1" applyFill="1" applyBorder="1" applyAlignment="1">
      <alignment horizontal="center" vertical="center" wrapText="1"/>
    </xf>
    <xf numFmtId="165" fontId="8" fillId="13" borderId="0" xfId="3" applyNumberFormat="1" applyFont="1" applyFill="1" applyBorder="1" applyAlignment="1">
      <alignment horizontal="center" vertical="center"/>
    </xf>
    <xf numFmtId="165" fontId="8" fillId="11" borderId="0" xfId="3" applyNumberFormat="1" applyFont="1" applyFill="1" applyBorder="1" applyAlignment="1">
      <alignment horizontal="center" vertical="center"/>
    </xf>
    <xf numFmtId="165" fontId="19" fillId="11" borderId="0" xfId="3" applyNumberFormat="1" applyFont="1" applyFill="1" applyBorder="1" applyAlignment="1">
      <alignment horizontal="center" vertical="center"/>
    </xf>
    <xf numFmtId="3" fontId="2" fillId="13" borderId="0" xfId="1" applyNumberFormat="1" applyFont="1" applyFill="1" applyBorder="1" applyAlignment="1">
      <alignment horizontal="center" vertical="center"/>
    </xf>
    <xf numFmtId="167" fontId="4" fillId="13" borderId="0" xfId="1" applyNumberFormat="1" applyFont="1" applyFill="1" applyBorder="1" applyAlignment="1">
      <alignment horizontal="center" vertical="center" wrapText="1"/>
    </xf>
    <xf numFmtId="167" fontId="4" fillId="12" borderId="0" xfId="1" applyNumberFormat="1" applyFont="1" applyFill="1" applyBorder="1" applyAlignment="1">
      <alignment horizontal="center" vertical="center" wrapText="1"/>
    </xf>
    <xf numFmtId="167" fontId="2" fillId="11" borderId="0" xfId="1" applyNumberFormat="1" applyFont="1" applyFill="1" applyBorder="1" applyAlignment="1">
      <alignment horizontal="center" vertical="center" wrapText="1"/>
    </xf>
    <xf numFmtId="3" fontId="4" fillId="13" borderId="0" xfId="1" applyNumberFormat="1" applyFont="1" applyFill="1" applyBorder="1" applyAlignment="1">
      <alignment horizontal="center" vertical="center"/>
    </xf>
    <xf numFmtId="3" fontId="2" fillId="12" borderId="0" xfId="3" applyNumberFormat="1" applyFont="1" applyFill="1" applyBorder="1" applyAlignment="1">
      <alignment horizontal="center" vertical="center"/>
    </xf>
    <xf numFmtId="0" fontId="7" fillId="13" borderId="13" xfId="1" applyFont="1" applyFill="1" applyBorder="1" applyAlignment="1">
      <alignment horizontal="left" vertical="center" wrapText="1"/>
    </xf>
    <xf numFmtId="0" fontId="7" fillId="13" borderId="13" xfId="1" applyFont="1" applyFill="1" applyBorder="1" applyAlignment="1">
      <alignment horizontal="left"/>
    </xf>
    <xf numFmtId="3" fontId="4" fillId="12" borderId="0" xfId="3" applyNumberFormat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1" fontId="3" fillId="2" borderId="0" xfId="1" applyNumberFormat="1" applyFont="1" applyFill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15" fillId="0" borderId="16" xfId="1" applyFont="1" applyBorder="1" applyAlignment="1">
      <alignment horizontal="left"/>
    </xf>
    <xf numFmtId="0" fontId="18" fillId="0" borderId="16" xfId="1" applyFont="1" applyBorder="1" applyAlignment="1">
      <alignment horizontal="left"/>
    </xf>
  </cellXfs>
  <cellStyles count="5">
    <cellStyle name="Обычный" xfId="0" builtinId="0"/>
    <cellStyle name="Обычный 2" xfId="1"/>
    <cellStyle name="Процентный 2" xfId="2"/>
    <cellStyle name="Процентный 3" xfId="4"/>
    <cellStyle name="Финансовый 2" xfId="3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7"/>
  <sheetViews>
    <sheetView tabSelected="1" zoomScaleNormal="100" workbookViewId="0">
      <pane xSplit="1" ySplit="3" topLeftCell="B57" activePane="bottomRight" state="frozen"/>
      <selection pane="topRight" activeCell="B1" sqref="B1"/>
      <selection pane="bottomLeft" activeCell="A3" sqref="A3"/>
      <selection pane="bottomRight" activeCell="F79" sqref="F79"/>
    </sheetView>
  </sheetViews>
  <sheetFormatPr defaultColWidth="11.375" defaultRowHeight="15" x14ac:dyDescent="0.25"/>
  <cols>
    <col min="1" max="1" width="55.375" style="1" customWidth="1"/>
    <col min="2" max="4" width="10.125" style="3" customWidth="1"/>
    <col min="5" max="7" width="11.625" style="3" customWidth="1"/>
    <col min="8" max="8" width="13.625" style="3" customWidth="1"/>
    <col min="9" max="10" width="12.5" style="3" bestFit="1" customWidth="1"/>
    <col min="11" max="11" width="12" style="3" customWidth="1"/>
    <col min="12" max="12" width="11.625" style="3" bestFit="1" customWidth="1"/>
    <col min="13" max="25" width="11.375" style="2"/>
    <col min="26" max="16384" width="11.375" style="1"/>
  </cols>
  <sheetData>
    <row r="1" spans="1:25" ht="25.7" customHeight="1" x14ac:dyDescent="0.25">
      <c r="A1" s="170" t="s">
        <v>77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25" ht="25.7" customHeight="1" x14ac:dyDescent="0.25">
      <c r="A2" s="172" t="s">
        <v>78</v>
      </c>
      <c r="B2" s="173"/>
      <c r="C2" s="173"/>
      <c r="D2" s="173"/>
      <c r="E2" s="173"/>
      <c r="F2" s="173"/>
      <c r="G2" s="173"/>
      <c r="H2" s="173"/>
      <c r="I2" s="173"/>
      <c r="J2" s="173"/>
      <c r="K2" s="169"/>
      <c r="L2" s="169"/>
    </row>
    <row r="3" spans="1:25" ht="30.75" thickBot="1" x14ac:dyDescent="0.3">
      <c r="A3" s="168"/>
      <c r="B3" s="143">
        <v>2015</v>
      </c>
      <c r="C3" s="143">
        <v>2016</v>
      </c>
      <c r="D3" s="143">
        <v>2017</v>
      </c>
      <c r="E3" s="143">
        <v>2018</v>
      </c>
      <c r="F3" s="143">
        <v>2019</v>
      </c>
      <c r="G3" s="143">
        <v>2020</v>
      </c>
      <c r="H3" s="143">
        <v>2021</v>
      </c>
      <c r="I3" s="143" t="s">
        <v>68</v>
      </c>
      <c r="J3" s="143" t="s">
        <v>67</v>
      </c>
      <c r="K3" s="143" t="s">
        <v>66</v>
      </c>
      <c r="L3" s="143" t="s">
        <v>65</v>
      </c>
    </row>
    <row r="4" spans="1:25" s="117" customFormat="1" ht="15.75" thickBot="1" x14ac:dyDescent="0.3">
      <c r="A4" s="142" t="s">
        <v>64</v>
      </c>
      <c r="B4" s="137"/>
      <c r="C4" s="137"/>
      <c r="D4" s="137"/>
      <c r="E4" s="137"/>
      <c r="F4" s="137"/>
      <c r="G4" s="137"/>
      <c r="H4" s="137"/>
      <c r="I4" s="141"/>
      <c r="J4" s="137"/>
      <c r="K4" s="137"/>
      <c r="L4" s="137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s="151" customFormat="1" ht="30.75" thickTop="1" x14ac:dyDescent="0.25">
      <c r="A5" s="131" t="s">
        <v>63</v>
      </c>
      <c r="B5" s="160">
        <v>3018.9</v>
      </c>
      <c r="C5" s="156">
        <f t="shared" ref="C5:L5" si="0">B5</f>
        <v>3018.9</v>
      </c>
      <c r="D5" s="156">
        <f t="shared" si="0"/>
        <v>3018.9</v>
      </c>
      <c r="E5" s="156">
        <f t="shared" si="0"/>
        <v>3018.9</v>
      </c>
      <c r="F5" s="156">
        <f t="shared" si="0"/>
        <v>3018.9</v>
      </c>
      <c r="G5" s="156">
        <f t="shared" si="0"/>
        <v>3018.9</v>
      </c>
      <c r="H5" s="156">
        <f t="shared" si="0"/>
        <v>3018.9</v>
      </c>
      <c r="I5" s="156">
        <f t="shared" si="0"/>
        <v>3018.9</v>
      </c>
      <c r="J5" s="156">
        <f t="shared" si="0"/>
        <v>3018.9</v>
      </c>
      <c r="K5" s="156">
        <f t="shared" si="0"/>
        <v>3018.9</v>
      </c>
      <c r="L5" s="156">
        <f t="shared" si="0"/>
        <v>3018.9</v>
      </c>
      <c r="M5" s="150"/>
    </row>
    <row r="6" spans="1:25" s="2" customFormat="1" x14ac:dyDescent="0.25">
      <c r="A6" s="140" t="s">
        <v>62</v>
      </c>
      <c r="B6" s="139">
        <v>33</v>
      </c>
      <c r="C6" s="138">
        <f t="shared" ref="C6:L6" si="1">B6</f>
        <v>33</v>
      </c>
      <c r="D6" s="138">
        <f t="shared" si="1"/>
        <v>33</v>
      </c>
      <c r="E6" s="138">
        <f t="shared" si="1"/>
        <v>33</v>
      </c>
      <c r="F6" s="138">
        <f t="shared" si="1"/>
        <v>33</v>
      </c>
      <c r="G6" s="138">
        <f t="shared" si="1"/>
        <v>33</v>
      </c>
      <c r="H6" s="138">
        <f t="shared" si="1"/>
        <v>33</v>
      </c>
      <c r="I6" s="138">
        <f t="shared" si="1"/>
        <v>33</v>
      </c>
      <c r="J6" s="138">
        <f t="shared" si="1"/>
        <v>33</v>
      </c>
      <c r="K6" s="138">
        <f t="shared" si="1"/>
        <v>33</v>
      </c>
      <c r="L6" s="138">
        <f t="shared" si="1"/>
        <v>33</v>
      </c>
      <c r="M6" s="22"/>
    </row>
    <row r="7" spans="1:25" s="2" customFormat="1" x14ac:dyDescent="0.25">
      <c r="A7" s="140" t="s">
        <v>61</v>
      </c>
      <c r="B7" s="139">
        <v>45</v>
      </c>
      <c r="C7" s="138">
        <f t="shared" ref="C7:L7" si="2">B7</f>
        <v>45</v>
      </c>
      <c r="D7" s="138">
        <f t="shared" si="2"/>
        <v>45</v>
      </c>
      <c r="E7" s="138">
        <f t="shared" si="2"/>
        <v>45</v>
      </c>
      <c r="F7" s="138">
        <f t="shared" si="2"/>
        <v>45</v>
      </c>
      <c r="G7" s="138">
        <f t="shared" si="2"/>
        <v>45</v>
      </c>
      <c r="H7" s="138">
        <f t="shared" si="2"/>
        <v>45</v>
      </c>
      <c r="I7" s="138">
        <f t="shared" si="2"/>
        <v>45</v>
      </c>
      <c r="J7" s="138">
        <f t="shared" si="2"/>
        <v>45</v>
      </c>
      <c r="K7" s="138">
        <f t="shared" si="2"/>
        <v>45</v>
      </c>
      <c r="L7" s="138">
        <f t="shared" si="2"/>
        <v>45</v>
      </c>
      <c r="M7" s="22"/>
    </row>
    <row r="8" spans="1:25" s="2" customFormat="1" x14ac:dyDescent="0.25">
      <c r="A8" s="140" t="s">
        <v>60</v>
      </c>
      <c r="B8" s="139">
        <v>56</v>
      </c>
      <c r="C8" s="138">
        <f t="shared" ref="C8:L8" si="3">B8</f>
        <v>56</v>
      </c>
      <c r="D8" s="138">
        <f t="shared" si="3"/>
        <v>56</v>
      </c>
      <c r="E8" s="138">
        <f t="shared" si="3"/>
        <v>56</v>
      </c>
      <c r="F8" s="138">
        <f t="shared" si="3"/>
        <v>56</v>
      </c>
      <c r="G8" s="138">
        <f t="shared" si="3"/>
        <v>56</v>
      </c>
      <c r="H8" s="138">
        <f t="shared" si="3"/>
        <v>56</v>
      </c>
      <c r="I8" s="138">
        <f t="shared" si="3"/>
        <v>56</v>
      </c>
      <c r="J8" s="138">
        <f t="shared" si="3"/>
        <v>56</v>
      </c>
      <c r="K8" s="138">
        <f t="shared" si="3"/>
        <v>56</v>
      </c>
      <c r="L8" s="138">
        <f t="shared" si="3"/>
        <v>56</v>
      </c>
      <c r="M8" s="22"/>
    </row>
    <row r="9" spans="1:25" s="151" customFormat="1" x14ac:dyDescent="0.25">
      <c r="A9" s="163" t="s">
        <v>59</v>
      </c>
      <c r="B9" s="157">
        <v>7.1</v>
      </c>
      <c r="C9" s="157">
        <v>7.1</v>
      </c>
      <c r="D9" s="157">
        <v>7.9</v>
      </c>
      <c r="E9" s="157">
        <v>8.3000000000000007</v>
      </c>
      <c r="F9" s="157">
        <v>8.3000000000000007</v>
      </c>
      <c r="G9" s="157">
        <v>8.3000000000000007</v>
      </c>
      <c r="H9" s="157">
        <v>8.3000000000000007</v>
      </c>
      <c r="I9" s="158">
        <v>8.3000000000000007</v>
      </c>
      <c r="J9" s="159">
        <f>I9*J10</f>
        <v>8.6320000000000014</v>
      </c>
      <c r="K9" s="159">
        <f>J9*K10</f>
        <v>8.9772800000000021</v>
      </c>
      <c r="L9" s="159">
        <f>K9*L10</f>
        <v>9.3363712000000021</v>
      </c>
      <c r="M9" s="150"/>
    </row>
    <row r="10" spans="1:25" s="2" customFormat="1" x14ac:dyDescent="0.25">
      <c r="A10" s="163" t="s">
        <v>58</v>
      </c>
      <c r="B10" s="136"/>
      <c r="C10" s="137"/>
      <c r="D10" s="137"/>
      <c r="E10" s="137"/>
      <c r="F10" s="137"/>
      <c r="G10" s="137"/>
      <c r="H10" s="136"/>
      <c r="I10" s="135">
        <v>1.04</v>
      </c>
      <c r="J10" s="134">
        <v>1.04</v>
      </c>
      <c r="K10" s="134">
        <v>1.04</v>
      </c>
      <c r="L10" s="134">
        <v>1.04</v>
      </c>
      <c r="M10" s="22"/>
    </row>
    <row r="11" spans="1:25" s="151" customFormat="1" x14ac:dyDescent="0.25">
      <c r="A11" s="162" t="s">
        <v>57</v>
      </c>
      <c r="B11" s="133">
        <f t="shared" ref="B11:H11" si="4">B5*B9*12</f>
        <v>257210.27999999997</v>
      </c>
      <c r="C11" s="133">
        <f t="shared" si="4"/>
        <v>257210.27999999997</v>
      </c>
      <c r="D11" s="133">
        <f t="shared" si="4"/>
        <v>286191.72000000003</v>
      </c>
      <c r="E11" s="133">
        <f t="shared" si="4"/>
        <v>300682.44000000006</v>
      </c>
      <c r="F11" s="133">
        <f t="shared" si="4"/>
        <v>300682.44000000006</v>
      </c>
      <c r="G11" s="133">
        <f t="shared" si="4"/>
        <v>300682.44000000006</v>
      </c>
      <c r="H11" s="133">
        <f t="shared" si="4"/>
        <v>300682.44000000006</v>
      </c>
      <c r="I11" s="161">
        <f>I5*I9*12</f>
        <v>300682.44000000006</v>
      </c>
      <c r="J11" s="132">
        <f>J5*J9*12</f>
        <v>312709.73760000005</v>
      </c>
      <c r="K11" s="132">
        <f>K5*K9*12</f>
        <v>325218.12710400007</v>
      </c>
      <c r="L11" s="132">
        <f>L5*L9*12</f>
        <v>338226.85218816012</v>
      </c>
      <c r="M11" s="150"/>
    </row>
    <row r="12" spans="1:25" s="151" customFormat="1" x14ac:dyDescent="0.25">
      <c r="A12" s="162" t="s">
        <v>56</v>
      </c>
      <c r="B12" s="146">
        <v>125210</v>
      </c>
      <c r="C12" s="146">
        <v>257210</v>
      </c>
      <c r="D12" s="146">
        <v>286192</v>
      </c>
      <c r="E12" s="146">
        <v>300682</v>
      </c>
      <c r="F12" s="146">
        <v>300682</v>
      </c>
      <c r="G12" s="146">
        <v>300682</v>
      </c>
      <c r="H12" s="146">
        <v>300682</v>
      </c>
      <c r="I12" s="132">
        <v>300682</v>
      </c>
      <c r="J12" s="132">
        <v>306456</v>
      </c>
      <c r="K12" s="132">
        <v>318714</v>
      </c>
      <c r="L12" s="132">
        <v>331462</v>
      </c>
      <c r="M12" s="150"/>
    </row>
    <row r="13" spans="1:25" s="2" customFormat="1" x14ac:dyDescent="0.25">
      <c r="A13" s="162" t="s">
        <v>55</v>
      </c>
      <c r="B13" s="133">
        <f t="shared" ref="B13:L13" si="5">B11-B12</f>
        <v>132000.27999999997</v>
      </c>
      <c r="C13" s="133">
        <f t="shared" si="5"/>
        <v>0.27999999996973202</v>
      </c>
      <c r="D13" s="133">
        <f t="shared" si="5"/>
        <v>-0.27999999996973202</v>
      </c>
      <c r="E13" s="133">
        <f t="shared" si="5"/>
        <v>0.44000000006053597</v>
      </c>
      <c r="F13" s="133">
        <f t="shared" si="5"/>
        <v>0.44000000006053597</v>
      </c>
      <c r="G13" s="133">
        <f t="shared" si="5"/>
        <v>0.44000000006053597</v>
      </c>
      <c r="H13" s="133">
        <f t="shared" si="5"/>
        <v>0.44000000006053597</v>
      </c>
      <c r="I13" s="132">
        <f t="shared" si="5"/>
        <v>0.44000000006053597</v>
      </c>
      <c r="J13" s="132">
        <f t="shared" si="5"/>
        <v>6253.7376000000513</v>
      </c>
      <c r="K13" s="132">
        <f t="shared" si="5"/>
        <v>6504.127104000072</v>
      </c>
      <c r="L13" s="132">
        <f t="shared" si="5"/>
        <v>6764.8521881601191</v>
      </c>
      <c r="M13" s="22"/>
    </row>
    <row r="14" spans="1:25" s="2" customFormat="1" x14ac:dyDescent="0.25">
      <c r="A14" s="162" t="s">
        <v>54</v>
      </c>
      <c r="B14" s="130">
        <f t="shared" ref="B14:H14" si="6">B12/B11</f>
        <v>0.48680013878138934</v>
      </c>
      <c r="C14" s="130">
        <f t="shared" si="6"/>
        <v>0.99999891139654307</v>
      </c>
      <c r="D14" s="130">
        <f t="shared" si="6"/>
        <v>1.0000009783651322</v>
      </c>
      <c r="E14" s="130">
        <f t="shared" si="6"/>
        <v>0.99999853666213412</v>
      </c>
      <c r="F14" s="130">
        <f t="shared" si="6"/>
        <v>0.99999853666213412</v>
      </c>
      <c r="G14" s="130">
        <f t="shared" si="6"/>
        <v>0.99999853666213412</v>
      </c>
      <c r="H14" s="130">
        <f t="shared" si="6"/>
        <v>0.99999853666213412</v>
      </c>
      <c r="I14" s="129">
        <v>0.98</v>
      </c>
      <c r="J14" s="129">
        <v>0.93310000000000004</v>
      </c>
      <c r="K14" s="129">
        <v>0.93</v>
      </c>
      <c r="L14" s="128">
        <v>0</v>
      </c>
      <c r="M14" s="22"/>
    </row>
    <row r="15" spans="1:25" s="2" customFormat="1" ht="45" x14ac:dyDescent="0.25">
      <c r="A15" s="162" t="s">
        <v>69</v>
      </c>
      <c r="B15" s="146">
        <v>0</v>
      </c>
      <c r="C15" s="146">
        <v>0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148">
        <v>0</v>
      </c>
      <c r="J15" s="148">
        <v>0</v>
      </c>
      <c r="K15" s="148">
        <v>0</v>
      </c>
      <c r="L15" s="148">
        <v>0</v>
      </c>
      <c r="M15" s="22"/>
    </row>
    <row r="16" spans="1:25" s="2" customFormat="1" ht="30" x14ac:dyDescent="0.25">
      <c r="A16" s="162" t="s">
        <v>76</v>
      </c>
      <c r="B16" s="146">
        <v>0</v>
      </c>
      <c r="C16" s="146">
        <v>0</v>
      </c>
      <c r="D16" s="146">
        <v>0</v>
      </c>
      <c r="E16" s="146">
        <v>0</v>
      </c>
      <c r="F16" s="146">
        <v>0</v>
      </c>
      <c r="G16" s="146">
        <v>0</v>
      </c>
      <c r="H16" s="146">
        <v>0</v>
      </c>
      <c r="I16" s="129"/>
      <c r="J16" s="129"/>
      <c r="K16" s="129"/>
      <c r="L16" s="128"/>
      <c r="M16" s="22"/>
    </row>
    <row r="17" spans="1:25" s="151" customFormat="1" x14ac:dyDescent="0.25">
      <c r="A17" s="162" t="s">
        <v>75</v>
      </c>
      <c r="B17" s="152"/>
      <c r="C17" s="152"/>
      <c r="D17" s="152"/>
      <c r="E17" s="152"/>
      <c r="F17" s="152"/>
      <c r="G17" s="152"/>
      <c r="H17" s="153"/>
      <c r="I17" s="164">
        <v>3599688</v>
      </c>
      <c r="J17" s="154"/>
      <c r="K17" s="155"/>
      <c r="L17" s="154"/>
      <c r="M17" s="150"/>
    </row>
    <row r="18" spans="1:25" s="2" customFormat="1" ht="30.75" thickBot="1" x14ac:dyDescent="0.3">
      <c r="A18" s="127" t="s">
        <v>71</v>
      </c>
      <c r="B18" s="126"/>
      <c r="C18" s="126"/>
      <c r="D18" s="126"/>
      <c r="E18" s="126"/>
      <c r="F18" s="126"/>
      <c r="G18" s="126"/>
      <c r="H18" s="125">
        <v>1.08</v>
      </c>
      <c r="I18" s="124">
        <v>1.1299999999999999</v>
      </c>
      <c r="J18" s="123">
        <v>1.17</v>
      </c>
      <c r="K18" s="123">
        <v>1.22</v>
      </c>
      <c r="L18" s="122">
        <v>1.27</v>
      </c>
      <c r="M18" s="22"/>
    </row>
    <row r="19" spans="1:25" s="117" customFormat="1" ht="15.75" thickBot="1" x14ac:dyDescent="0.3">
      <c r="A19" s="121" t="s">
        <v>53</v>
      </c>
      <c r="B19" s="115"/>
      <c r="C19" s="115"/>
      <c r="D19" s="115"/>
      <c r="E19" s="115"/>
      <c r="F19" s="115"/>
      <c r="G19" s="115"/>
      <c r="H19" s="115"/>
      <c r="I19" s="120"/>
      <c r="J19" s="119"/>
      <c r="K19" s="119"/>
      <c r="L19" s="118"/>
      <c r="M19" s="2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s="2" customFormat="1" ht="15.75" thickTop="1" x14ac:dyDescent="0.25">
      <c r="A20" s="116" t="s">
        <v>52</v>
      </c>
      <c r="B20" s="115"/>
      <c r="C20" s="115"/>
      <c r="D20" s="115"/>
      <c r="E20" s="115"/>
      <c r="F20" s="115"/>
      <c r="G20" s="115"/>
      <c r="H20" s="115"/>
      <c r="I20" s="114"/>
      <c r="J20" s="113"/>
      <c r="K20" s="113"/>
      <c r="L20" s="100"/>
      <c r="M20" s="22"/>
    </row>
    <row r="21" spans="1:25" s="2" customFormat="1" x14ac:dyDescent="0.25">
      <c r="A21" s="112" t="s">
        <v>2</v>
      </c>
      <c r="B21" s="111">
        <f t="shared" ref="B21:H21" si="7">B6*B9</f>
        <v>234.29999999999998</v>
      </c>
      <c r="C21" s="111">
        <f t="shared" si="7"/>
        <v>234.29999999999998</v>
      </c>
      <c r="D21" s="111">
        <f t="shared" si="7"/>
        <v>260.7</v>
      </c>
      <c r="E21" s="111">
        <f t="shared" si="7"/>
        <v>273.90000000000003</v>
      </c>
      <c r="F21" s="111">
        <f t="shared" si="7"/>
        <v>273.90000000000003</v>
      </c>
      <c r="G21" s="111">
        <f t="shared" si="7"/>
        <v>273.90000000000003</v>
      </c>
      <c r="H21" s="111">
        <f t="shared" si="7"/>
        <v>273.90000000000003</v>
      </c>
      <c r="I21" s="111">
        <f>I9*I6</f>
        <v>273.90000000000003</v>
      </c>
      <c r="J21" s="110">
        <f>J9*J6</f>
        <v>284.85600000000005</v>
      </c>
      <c r="K21" s="110">
        <f>K9*K6</f>
        <v>296.25024000000008</v>
      </c>
      <c r="L21" s="110">
        <f>L9*L6</f>
        <v>308.1002496000001</v>
      </c>
      <c r="M21" s="22"/>
    </row>
    <row r="22" spans="1:25" s="2" customFormat="1" x14ac:dyDescent="0.25">
      <c r="A22" s="112" t="s">
        <v>39</v>
      </c>
      <c r="B22" s="111">
        <f t="shared" ref="B22:H22" si="8">B7*B9</f>
        <v>319.5</v>
      </c>
      <c r="C22" s="111">
        <f t="shared" si="8"/>
        <v>319.5</v>
      </c>
      <c r="D22" s="111">
        <f t="shared" si="8"/>
        <v>355.5</v>
      </c>
      <c r="E22" s="111">
        <f t="shared" si="8"/>
        <v>373.50000000000006</v>
      </c>
      <c r="F22" s="111">
        <f t="shared" si="8"/>
        <v>373.50000000000006</v>
      </c>
      <c r="G22" s="111">
        <f t="shared" si="8"/>
        <v>373.50000000000006</v>
      </c>
      <c r="H22" s="111">
        <f t="shared" si="8"/>
        <v>373.50000000000006</v>
      </c>
      <c r="I22" s="111">
        <f>I9*I7</f>
        <v>373.50000000000006</v>
      </c>
      <c r="J22" s="110">
        <f>J9*J7</f>
        <v>388.44000000000005</v>
      </c>
      <c r="K22" s="110">
        <f>K9*K7</f>
        <v>403.97760000000011</v>
      </c>
      <c r="L22" s="110">
        <f>L9*L7</f>
        <v>420.13670400000012</v>
      </c>
      <c r="M22" s="22"/>
    </row>
    <row r="23" spans="1:25" s="2" customFormat="1" x14ac:dyDescent="0.25">
      <c r="A23" s="112" t="s">
        <v>34</v>
      </c>
      <c r="B23" s="111">
        <f t="shared" ref="B23:H23" si="9">B8*B9</f>
        <v>397.59999999999997</v>
      </c>
      <c r="C23" s="111">
        <f t="shared" si="9"/>
        <v>397.59999999999997</v>
      </c>
      <c r="D23" s="111">
        <f t="shared" si="9"/>
        <v>442.40000000000003</v>
      </c>
      <c r="E23" s="111">
        <f t="shared" si="9"/>
        <v>464.80000000000007</v>
      </c>
      <c r="F23" s="111">
        <f t="shared" si="9"/>
        <v>464.80000000000007</v>
      </c>
      <c r="G23" s="111">
        <f t="shared" si="9"/>
        <v>464.80000000000007</v>
      </c>
      <c r="H23" s="111">
        <f t="shared" si="9"/>
        <v>464.80000000000007</v>
      </c>
      <c r="I23" s="111">
        <f>I9*I8</f>
        <v>464.80000000000007</v>
      </c>
      <c r="J23" s="110">
        <f>J9*J8</f>
        <v>483.39200000000005</v>
      </c>
      <c r="K23" s="110">
        <f>K9*K8</f>
        <v>502.72768000000013</v>
      </c>
      <c r="L23" s="110">
        <f>L9*L8</f>
        <v>522.83678720000012</v>
      </c>
      <c r="M23" s="22"/>
    </row>
    <row r="24" spans="1:25" s="2" customFormat="1" ht="30" x14ac:dyDescent="0.25">
      <c r="A24" s="109" t="s">
        <v>51</v>
      </c>
      <c r="B24" s="107">
        <f>(B5*B9*B14)+B15</f>
        <v>10434.166666666666</v>
      </c>
      <c r="C24" s="107">
        <f>(C5*C9*C14)+C15</f>
        <v>21434.166666666668</v>
      </c>
      <c r="D24" s="107">
        <f>(D5*D9*D14)+D15</f>
        <v>23849.333333333332</v>
      </c>
      <c r="E24" s="107">
        <f>(E5*E9*E14)+E15</f>
        <v>25056.833333333332</v>
      </c>
      <c r="F24" s="107">
        <f t="shared" ref="F24:H24" si="10">(F5*F9*F14)+F15</f>
        <v>25056.833333333332</v>
      </c>
      <c r="G24" s="107">
        <f t="shared" si="10"/>
        <v>25056.833333333332</v>
      </c>
      <c r="H24" s="107">
        <f t="shared" si="10"/>
        <v>25056.833333333332</v>
      </c>
      <c r="I24" s="107">
        <f>(I5*I9*I14)+I15</f>
        <v>24555.732600000003</v>
      </c>
      <c r="J24" s="106">
        <f>(J5*J9*J14)+J15</f>
        <v>24315.788012880006</v>
      </c>
      <c r="K24" s="106">
        <f>(K5*K9*K14)+K15</f>
        <v>25204.404850560008</v>
      </c>
      <c r="L24" s="106">
        <f>(L5*L9*L14)+L15</f>
        <v>0</v>
      </c>
      <c r="M24" s="22"/>
    </row>
    <row r="25" spans="1:25" s="2" customFormat="1" ht="30" x14ac:dyDescent="0.25">
      <c r="A25" s="109" t="s">
        <v>50</v>
      </c>
      <c r="B25" s="107">
        <f>(B5*B9*B14*12)+B15</f>
        <v>125210</v>
      </c>
      <c r="C25" s="107">
        <f t="shared" ref="C25:H25" si="11">(C5*C9*C14*12)+C15</f>
        <v>257210</v>
      </c>
      <c r="D25" s="107">
        <f t="shared" si="11"/>
        <v>286192</v>
      </c>
      <c r="E25" s="107">
        <f t="shared" si="11"/>
        <v>300682</v>
      </c>
      <c r="F25" s="107">
        <f t="shared" si="11"/>
        <v>300682</v>
      </c>
      <c r="G25" s="107">
        <f t="shared" si="11"/>
        <v>300682</v>
      </c>
      <c r="H25" s="107">
        <f t="shared" si="11"/>
        <v>300682</v>
      </c>
      <c r="I25" s="107">
        <f>(I5*I9*I14*12)+I15</f>
        <v>294668.79120000004</v>
      </c>
      <c r="J25" s="106">
        <f>(J5*J9*J14*12)+J15</f>
        <v>291789.45615456009</v>
      </c>
      <c r="K25" s="106">
        <f t="shared" ref="K25:L25" si="12">(K5*K9*K14*12)+K15</f>
        <v>302452.85820672009</v>
      </c>
      <c r="L25" s="106">
        <f t="shared" si="12"/>
        <v>0</v>
      </c>
      <c r="M25" s="22"/>
    </row>
    <row r="26" spans="1:25" s="2" customFormat="1" ht="30" x14ac:dyDescent="0.25">
      <c r="A26" s="109" t="s">
        <v>49</v>
      </c>
      <c r="B26" s="107">
        <f>B12+B15</f>
        <v>125210</v>
      </c>
      <c r="C26" s="107">
        <f t="shared" ref="C26:L26" si="13">(B26+C12)+C15</f>
        <v>382420</v>
      </c>
      <c r="D26" s="107">
        <f t="shared" si="13"/>
        <v>668612</v>
      </c>
      <c r="E26" s="107">
        <f t="shared" si="13"/>
        <v>969294</v>
      </c>
      <c r="F26" s="107">
        <f t="shared" si="13"/>
        <v>1269976</v>
      </c>
      <c r="G26" s="107">
        <f t="shared" si="13"/>
        <v>1570658</v>
      </c>
      <c r="H26" s="107">
        <f t="shared" si="13"/>
        <v>1871340</v>
      </c>
      <c r="I26" s="107">
        <f t="shared" si="13"/>
        <v>2172022</v>
      </c>
      <c r="J26" s="106">
        <f t="shared" si="13"/>
        <v>2478478</v>
      </c>
      <c r="K26" s="106">
        <f t="shared" si="13"/>
        <v>2797192</v>
      </c>
      <c r="L26" s="106">
        <f t="shared" si="13"/>
        <v>3128654</v>
      </c>
      <c r="M26" s="22"/>
    </row>
    <row r="27" spans="1:25" s="2" customFormat="1" ht="30" x14ac:dyDescent="0.25">
      <c r="A27" s="109" t="s">
        <v>48</v>
      </c>
      <c r="B27" s="107">
        <f>B13</f>
        <v>132000.27999999997</v>
      </c>
      <c r="C27" s="107">
        <f>B27+C13</f>
        <v>132000.55999999994</v>
      </c>
      <c r="D27" s="107">
        <f t="shared" ref="D27:K27" si="14">C27+D13</f>
        <v>132000.27999999997</v>
      </c>
      <c r="E27" s="107">
        <f t="shared" si="14"/>
        <v>132000.72000000003</v>
      </c>
      <c r="F27" s="107">
        <f t="shared" si="14"/>
        <v>132001.16000000009</v>
      </c>
      <c r="G27" s="107">
        <f t="shared" si="14"/>
        <v>132001.60000000015</v>
      </c>
      <c r="H27" s="107">
        <f t="shared" si="14"/>
        <v>132002.04000000021</v>
      </c>
      <c r="I27" s="107">
        <f t="shared" si="14"/>
        <v>132002.48000000027</v>
      </c>
      <c r="J27" s="106">
        <f t="shared" si="14"/>
        <v>138256.21760000032</v>
      </c>
      <c r="K27" s="106">
        <f t="shared" si="14"/>
        <v>144760.3447040004</v>
      </c>
      <c r="L27" s="105"/>
      <c r="M27" s="22"/>
    </row>
    <row r="28" spans="1:25" s="2" customFormat="1" x14ac:dyDescent="0.25">
      <c r="A28" s="109" t="s">
        <v>70</v>
      </c>
      <c r="B28" s="107">
        <f t="shared" ref="B28:H28" si="15">B16</f>
        <v>0</v>
      </c>
      <c r="C28" s="107">
        <f t="shared" si="15"/>
        <v>0</v>
      </c>
      <c r="D28" s="107">
        <f t="shared" si="15"/>
        <v>0</v>
      </c>
      <c r="E28" s="107">
        <f t="shared" si="15"/>
        <v>0</v>
      </c>
      <c r="F28" s="107">
        <f t="shared" si="15"/>
        <v>0</v>
      </c>
      <c r="G28" s="107">
        <f t="shared" si="15"/>
        <v>0</v>
      </c>
      <c r="H28" s="107">
        <f t="shared" si="15"/>
        <v>0</v>
      </c>
      <c r="I28" s="107">
        <v>0</v>
      </c>
      <c r="J28" s="106"/>
      <c r="K28" s="106"/>
      <c r="L28" s="105"/>
      <c r="M28" s="22"/>
    </row>
    <row r="29" spans="1:25" s="2" customFormat="1" ht="30" x14ac:dyDescent="0.25">
      <c r="A29" s="108" t="s">
        <v>72</v>
      </c>
      <c r="B29" s="107">
        <f>B26</f>
        <v>125210</v>
      </c>
      <c r="C29" s="107">
        <f>B29+C25-C28</f>
        <v>382420</v>
      </c>
      <c r="D29" s="107">
        <f>C29+D25-D28</f>
        <v>668612</v>
      </c>
      <c r="E29" s="107">
        <f>E25+D29-E28</f>
        <v>969294</v>
      </c>
      <c r="F29" s="107">
        <f>F25-F28+E29</f>
        <v>1269976</v>
      </c>
      <c r="G29" s="107">
        <f>G25+F29-G28</f>
        <v>1570658</v>
      </c>
      <c r="H29" s="107">
        <f>H25+G29-H28</f>
        <v>1871340</v>
      </c>
      <c r="I29" s="102">
        <f>I25+H29-I28</f>
        <v>2166008.7911999999</v>
      </c>
      <c r="J29" s="106">
        <f>J25+I29</f>
        <v>2457798.2473545601</v>
      </c>
      <c r="K29" s="106">
        <f>J29+K25</f>
        <v>2760251.1055612802</v>
      </c>
      <c r="L29" s="105"/>
      <c r="M29" s="22"/>
    </row>
    <row r="30" spans="1:25" s="2" customFormat="1" ht="30" x14ac:dyDescent="0.25">
      <c r="A30" s="104" t="s">
        <v>73</v>
      </c>
      <c r="B30" s="103"/>
      <c r="C30" s="103"/>
      <c r="D30" s="103"/>
      <c r="E30" s="103"/>
      <c r="F30" s="103"/>
      <c r="G30" s="103"/>
      <c r="H30" s="103"/>
      <c r="I30" s="102">
        <f>IF(I17&gt;I26,I26-I17,0)</f>
        <v>-1427666</v>
      </c>
      <c r="J30" s="101"/>
      <c r="K30" s="101"/>
      <c r="L30" s="100"/>
      <c r="M30" s="22"/>
    </row>
    <row r="31" spans="1:25" s="2" customFormat="1" ht="30.75" thickBot="1" x14ac:dyDescent="0.3">
      <c r="A31" s="99" t="s">
        <v>74</v>
      </c>
      <c r="B31" s="98"/>
      <c r="C31" s="98"/>
      <c r="D31" s="98"/>
      <c r="E31" s="98"/>
      <c r="F31" s="98"/>
      <c r="G31" s="98"/>
      <c r="H31" s="98"/>
      <c r="I31" s="97">
        <f>I30+I27</f>
        <v>-1295663.5199999998</v>
      </c>
      <c r="J31" s="96"/>
      <c r="K31" s="96"/>
      <c r="L31" s="95"/>
      <c r="M31" s="22"/>
    </row>
    <row r="32" spans="1:25" s="84" customFormat="1" ht="30" x14ac:dyDescent="0.25">
      <c r="A32" s="94" t="s">
        <v>47</v>
      </c>
      <c r="B32" s="88"/>
      <c r="C32" s="88"/>
      <c r="D32" s="88"/>
      <c r="E32" s="88"/>
      <c r="F32" s="88"/>
      <c r="G32" s="88"/>
      <c r="H32" s="87"/>
      <c r="I32" s="87"/>
      <c r="J32" s="92"/>
      <c r="K32" s="92"/>
      <c r="L32" s="86"/>
      <c r="M32" s="85"/>
    </row>
    <row r="33" spans="1:25" s="84" customFormat="1" ht="30" x14ac:dyDescent="0.25">
      <c r="A33" s="93" t="s">
        <v>46</v>
      </c>
      <c r="B33" s="88"/>
      <c r="C33" s="88"/>
      <c r="D33" s="88"/>
      <c r="E33" s="88"/>
      <c r="F33" s="88"/>
      <c r="G33" s="88"/>
      <c r="H33" s="87"/>
      <c r="I33" s="87"/>
      <c r="J33" s="92"/>
      <c r="K33" s="92"/>
      <c r="L33" s="86"/>
      <c r="M33" s="85"/>
    </row>
    <row r="34" spans="1:25" s="84" customFormat="1" ht="17.100000000000001" customHeight="1" x14ac:dyDescent="0.25">
      <c r="A34" s="89" t="s">
        <v>45</v>
      </c>
      <c r="B34" s="88"/>
      <c r="C34" s="88"/>
      <c r="D34" s="88"/>
      <c r="E34" s="88"/>
      <c r="F34" s="88"/>
      <c r="G34" s="88"/>
      <c r="H34" s="87"/>
      <c r="I34" s="91">
        <f>I17</f>
        <v>3599688</v>
      </c>
      <c r="J34" s="76">
        <f>$I$17*J18</f>
        <v>4211634.96</v>
      </c>
      <c r="K34" s="76">
        <f>$I$17*K18</f>
        <v>4391619.3600000003</v>
      </c>
      <c r="L34" s="90"/>
      <c r="M34" s="85"/>
    </row>
    <row r="35" spans="1:25" s="84" customFormat="1" ht="30" x14ac:dyDescent="0.25">
      <c r="A35" s="89" t="s">
        <v>44</v>
      </c>
      <c r="B35" s="88"/>
      <c r="C35" s="88"/>
      <c r="D35" s="88"/>
      <c r="E35" s="88"/>
      <c r="F35" s="88"/>
      <c r="G35" s="88"/>
      <c r="H35" s="87"/>
      <c r="I35" s="77">
        <f>IF(I34&gt;I26,I26-I34,0)</f>
        <v>-1427666</v>
      </c>
      <c r="J35" s="76">
        <f>IF(J34&gt;J26,J26-J34,0)</f>
        <v>-1733156.96</v>
      </c>
      <c r="K35" s="76">
        <f>IF(K34&gt;K26,K26-K34,0)</f>
        <v>-1594427.3600000003</v>
      </c>
      <c r="L35" s="86"/>
      <c r="M35" s="85"/>
    </row>
    <row r="36" spans="1:25" s="4" customFormat="1" ht="34.5" customHeight="1" thickBot="1" x14ac:dyDescent="0.3">
      <c r="A36" s="83" t="s">
        <v>43</v>
      </c>
      <c r="B36" s="82"/>
      <c r="C36" s="82"/>
      <c r="D36" s="82"/>
      <c r="E36" s="82"/>
      <c r="F36" s="82"/>
      <c r="G36" s="82"/>
      <c r="H36" s="82"/>
      <c r="I36" s="165">
        <f>-IF(I30&gt;0,0,I30/I24)</f>
        <v>58.139825158382763</v>
      </c>
      <c r="J36" s="81">
        <f>-IF(J35&gt;0,0,J35/J24)</f>
        <v>71.277022117562112</v>
      </c>
      <c r="K36" s="81">
        <f>-IF(K35&gt;0,0,K35/K24)</f>
        <v>63.259869433678546</v>
      </c>
      <c r="L36" s="80"/>
      <c r="M36" s="2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s="2" customFormat="1" ht="30" x14ac:dyDescent="0.25">
      <c r="A37" s="79" t="s">
        <v>42</v>
      </c>
      <c r="B37" s="78"/>
      <c r="C37" s="78"/>
      <c r="D37" s="78"/>
      <c r="E37" s="78"/>
      <c r="F37" s="78"/>
      <c r="G37" s="78"/>
      <c r="H37" s="78"/>
      <c r="I37" s="49"/>
      <c r="J37" s="48"/>
      <c r="K37" s="48"/>
      <c r="L37" s="73"/>
      <c r="M37" s="22"/>
    </row>
    <row r="38" spans="1:25" s="2" customFormat="1" ht="27" customHeight="1" x14ac:dyDescent="0.25">
      <c r="A38" s="75" t="s">
        <v>41</v>
      </c>
      <c r="B38" s="74"/>
      <c r="C38" s="74"/>
      <c r="D38" s="74"/>
      <c r="E38" s="74"/>
      <c r="F38" s="74"/>
      <c r="G38" s="74"/>
      <c r="H38" s="74"/>
      <c r="I38" s="21"/>
      <c r="J38" s="20"/>
      <c r="K38" s="20"/>
      <c r="L38" s="73"/>
      <c r="M38" s="22"/>
    </row>
    <row r="39" spans="1:25" s="2" customFormat="1" ht="30" customHeight="1" x14ac:dyDescent="0.25">
      <c r="A39" s="64" t="s">
        <v>40</v>
      </c>
      <c r="B39" s="74"/>
      <c r="C39" s="74"/>
      <c r="D39" s="74"/>
      <c r="E39" s="74"/>
      <c r="F39" s="74"/>
      <c r="G39" s="74"/>
      <c r="H39" s="74"/>
      <c r="I39" s="21"/>
      <c r="J39" s="20"/>
      <c r="K39" s="20"/>
      <c r="L39" s="73"/>
      <c r="M39" s="22"/>
    </row>
    <row r="40" spans="1:25" s="2" customFormat="1" x14ac:dyDescent="0.25">
      <c r="A40" s="66" t="s">
        <v>2</v>
      </c>
      <c r="B40" s="74"/>
      <c r="C40" s="74"/>
      <c r="D40" s="74"/>
      <c r="E40" s="74"/>
      <c r="F40" s="74"/>
      <c r="G40" s="74"/>
      <c r="H40" s="74"/>
      <c r="I40" s="49">
        <f>(I9+J9)*J6</f>
        <v>558.75600000000009</v>
      </c>
      <c r="J40" s="48">
        <f>(J9+K9)*K6</f>
        <v>581.10624000000018</v>
      </c>
      <c r="K40" s="48">
        <f>(K9+L9)*L6</f>
        <v>604.35048960000006</v>
      </c>
      <c r="L40" s="73"/>
      <c r="M40" s="22"/>
    </row>
    <row r="41" spans="1:25" s="2" customFormat="1" x14ac:dyDescent="0.25">
      <c r="A41" s="63" t="s">
        <v>39</v>
      </c>
      <c r="B41" s="74"/>
      <c r="C41" s="74"/>
      <c r="D41" s="74"/>
      <c r="E41" s="74"/>
      <c r="F41" s="74"/>
      <c r="G41" s="74"/>
      <c r="H41" s="74"/>
      <c r="I41" s="49">
        <f>(I9+J9)*J7</f>
        <v>761.94</v>
      </c>
      <c r="J41" s="48">
        <f>(J9+K9)*K7</f>
        <v>792.41760000000022</v>
      </c>
      <c r="K41" s="48">
        <f>(K9+L9)*L7</f>
        <v>824.11430400000006</v>
      </c>
      <c r="L41" s="73"/>
      <c r="M41" s="22"/>
    </row>
    <row r="42" spans="1:25" s="2" customFormat="1" x14ac:dyDescent="0.25">
      <c r="A42" s="63" t="s">
        <v>34</v>
      </c>
      <c r="B42" s="74"/>
      <c r="C42" s="74"/>
      <c r="D42" s="74"/>
      <c r="E42" s="74"/>
      <c r="F42" s="74"/>
      <c r="G42" s="74"/>
      <c r="H42" s="74"/>
      <c r="I42" s="49">
        <f>(I9+J9)*J8</f>
        <v>948.19200000000012</v>
      </c>
      <c r="J42" s="48">
        <f>(J9+K9)*K8</f>
        <v>986.11968000000024</v>
      </c>
      <c r="K42" s="48">
        <f>(K9+L9)*L8</f>
        <v>1025.5644672000001</v>
      </c>
      <c r="L42" s="73"/>
      <c r="M42" s="22"/>
    </row>
    <row r="43" spans="1:25" s="2" customFormat="1" ht="30" x14ac:dyDescent="0.25">
      <c r="A43" s="64" t="s">
        <v>38</v>
      </c>
      <c r="B43" s="74"/>
      <c r="C43" s="74"/>
      <c r="D43" s="74"/>
      <c r="E43" s="74"/>
      <c r="F43" s="74"/>
      <c r="G43" s="74"/>
      <c r="H43" s="74"/>
      <c r="I43" s="77">
        <f>I30+(J5*J9*3)</f>
        <v>-1349488.5656000001</v>
      </c>
      <c r="J43" s="76">
        <f>J35+K9*K5*3</f>
        <v>-1651852.4282239999</v>
      </c>
      <c r="K43" s="76">
        <f>K35+L5*L9*3</f>
        <v>-1509870.6469529604</v>
      </c>
      <c r="L43" s="73"/>
      <c r="M43" s="22"/>
    </row>
    <row r="44" spans="1:25" s="2" customFormat="1" ht="30" customHeight="1" x14ac:dyDescent="0.25">
      <c r="A44" s="75" t="s">
        <v>37</v>
      </c>
      <c r="B44" s="74"/>
      <c r="C44" s="74"/>
      <c r="D44" s="74"/>
      <c r="E44" s="74"/>
      <c r="F44" s="74"/>
      <c r="G44" s="74"/>
      <c r="H44" s="74"/>
      <c r="I44" s="21"/>
      <c r="J44" s="20"/>
      <c r="K44" s="20"/>
      <c r="L44" s="73"/>
      <c r="M44" s="22"/>
    </row>
    <row r="45" spans="1:25" s="2" customFormat="1" ht="26.25" customHeight="1" x14ac:dyDescent="0.25">
      <c r="A45" s="64" t="s">
        <v>36</v>
      </c>
      <c r="B45" s="74"/>
      <c r="C45" s="74"/>
      <c r="D45" s="74"/>
      <c r="E45" s="74"/>
      <c r="F45" s="74"/>
      <c r="G45" s="74"/>
      <c r="H45" s="74"/>
      <c r="I45" s="21"/>
      <c r="J45" s="20"/>
      <c r="K45" s="20"/>
      <c r="L45" s="73"/>
      <c r="M45" s="22"/>
    </row>
    <row r="46" spans="1:25" s="2" customFormat="1" x14ac:dyDescent="0.25">
      <c r="A46" s="66" t="s">
        <v>2</v>
      </c>
      <c r="B46" s="74"/>
      <c r="C46" s="74"/>
      <c r="D46" s="74"/>
      <c r="E46" s="74"/>
      <c r="F46" s="74"/>
      <c r="G46" s="74"/>
      <c r="H46" s="74"/>
      <c r="I46" s="51">
        <f>(I9+J9)*J6</f>
        <v>558.75600000000009</v>
      </c>
      <c r="J46" s="50">
        <f>(J9+K9)*K6</f>
        <v>581.10624000000018</v>
      </c>
      <c r="K46" s="50">
        <f>(K9+L9)*L6</f>
        <v>604.35048960000006</v>
      </c>
      <c r="L46" s="73"/>
      <c r="M46" s="22"/>
    </row>
    <row r="47" spans="1:25" s="2" customFormat="1" x14ac:dyDescent="0.25">
      <c r="A47" s="63" t="s">
        <v>35</v>
      </c>
      <c r="B47" s="74"/>
      <c r="C47" s="74"/>
      <c r="D47" s="74"/>
      <c r="E47" s="74"/>
      <c r="F47" s="74"/>
      <c r="G47" s="74"/>
      <c r="H47" s="74"/>
      <c r="I47" s="51">
        <f>(I9+J9)*J7</f>
        <v>761.94</v>
      </c>
      <c r="J47" s="50">
        <f>(J9+K9)*K7</f>
        <v>792.41760000000022</v>
      </c>
      <c r="K47" s="50">
        <f>(K9+L9)*L7</f>
        <v>824.11430400000006</v>
      </c>
      <c r="L47" s="73"/>
      <c r="M47" s="22"/>
    </row>
    <row r="48" spans="1:25" s="2" customFormat="1" x14ac:dyDescent="0.25">
      <c r="A48" s="63" t="s">
        <v>34</v>
      </c>
      <c r="B48" s="74"/>
      <c r="C48" s="74"/>
      <c r="D48" s="74"/>
      <c r="E48" s="74"/>
      <c r="F48" s="74"/>
      <c r="G48" s="74"/>
      <c r="H48" s="74"/>
      <c r="I48" s="51">
        <f>(I9+J9)*J8</f>
        <v>948.19200000000012</v>
      </c>
      <c r="J48" s="50">
        <f>(J9+K9)*K8</f>
        <v>986.11968000000024</v>
      </c>
      <c r="K48" s="50">
        <f>(K9+L9)*L8</f>
        <v>1025.5644672000001</v>
      </c>
      <c r="L48" s="73"/>
      <c r="M48" s="22"/>
    </row>
    <row r="49" spans="1:25" s="4" customFormat="1" ht="30.75" thickBot="1" x14ac:dyDescent="0.3">
      <c r="A49" s="147" t="s">
        <v>33</v>
      </c>
      <c r="B49" s="72"/>
      <c r="C49" s="72"/>
      <c r="D49" s="72"/>
      <c r="E49" s="72"/>
      <c r="F49" s="72"/>
      <c r="G49" s="72"/>
      <c r="H49" s="72"/>
      <c r="I49" s="71">
        <f>I30+(J5*J9*6)</f>
        <v>-1271311.1311999999</v>
      </c>
      <c r="J49" s="70">
        <f>J35+(K5*K9*6)</f>
        <v>-1570547.8964479999</v>
      </c>
      <c r="K49" s="70">
        <f>K35+(L5*L9*6)</f>
        <v>-1425313.9339059202</v>
      </c>
      <c r="L49" s="69"/>
      <c r="M49" s="2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s="2" customFormat="1" ht="30.75" customHeight="1" x14ac:dyDescent="0.25">
      <c r="A50" s="40" t="s">
        <v>32</v>
      </c>
      <c r="B50" s="68"/>
      <c r="C50" s="68"/>
      <c r="D50" s="68"/>
      <c r="E50" s="68"/>
      <c r="F50" s="68"/>
      <c r="G50" s="68"/>
      <c r="H50" s="68"/>
      <c r="I50" s="17"/>
      <c r="J50" s="23"/>
      <c r="K50" s="23"/>
      <c r="L50" s="23"/>
      <c r="M50" s="22"/>
    </row>
    <row r="51" spans="1:25" s="2" customFormat="1" ht="16.5" customHeight="1" x14ac:dyDescent="0.25">
      <c r="A51" s="65" t="s">
        <v>31</v>
      </c>
      <c r="B51" s="62"/>
      <c r="C51" s="62"/>
      <c r="D51" s="62"/>
      <c r="E51" s="62"/>
      <c r="F51" s="62"/>
      <c r="G51" s="62"/>
      <c r="H51" s="62"/>
      <c r="I51" s="53">
        <f>-IF(I30&lt;0,I30/I5/3,0)</f>
        <v>157.63644594609517</v>
      </c>
      <c r="J51" s="52">
        <f>-IF(J35&lt;0,J35/J5/3,0)</f>
        <v>191.36738105490963</v>
      </c>
      <c r="K51" s="52">
        <f>-IF(K35&lt;0,K35/K5/3,0)</f>
        <v>176.0494838075679</v>
      </c>
      <c r="L51" s="45"/>
      <c r="M51" s="22"/>
    </row>
    <row r="52" spans="1:25" s="2" customFormat="1" ht="30" x14ac:dyDescent="0.25">
      <c r="A52" s="64" t="s">
        <v>30</v>
      </c>
      <c r="B52" s="62"/>
      <c r="C52" s="62"/>
      <c r="D52" s="62"/>
      <c r="E52" s="62"/>
      <c r="F52" s="62"/>
      <c r="G52" s="62"/>
      <c r="H52" s="62"/>
      <c r="I52" s="53"/>
      <c r="J52" s="52"/>
      <c r="K52" s="67"/>
      <c r="L52" s="45"/>
      <c r="M52" s="22"/>
    </row>
    <row r="53" spans="1:25" s="2" customFormat="1" x14ac:dyDescent="0.25">
      <c r="A53" s="66" t="s">
        <v>2</v>
      </c>
      <c r="B53" s="62"/>
      <c r="C53" s="62"/>
      <c r="D53" s="62"/>
      <c r="E53" s="62"/>
      <c r="F53" s="62"/>
      <c r="G53" s="62"/>
      <c r="H53" s="62"/>
      <c r="I53" s="12">
        <f>(I9+$I$51)*I6</f>
        <v>5475.9027162211405</v>
      </c>
      <c r="J53" s="11">
        <f>(J9+$J$51)*J6</f>
        <v>6599.9795748120177</v>
      </c>
      <c r="K53" s="11">
        <f>(K9+$K$51)*K6</f>
        <v>6105.8832056497404</v>
      </c>
      <c r="L53" s="45"/>
      <c r="M53" s="22"/>
    </row>
    <row r="54" spans="1:25" s="2" customFormat="1" x14ac:dyDescent="0.25">
      <c r="A54" s="63" t="s">
        <v>1</v>
      </c>
      <c r="B54" s="62"/>
      <c r="C54" s="62"/>
      <c r="D54" s="62"/>
      <c r="E54" s="62"/>
      <c r="F54" s="62"/>
      <c r="G54" s="62"/>
      <c r="H54" s="62"/>
      <c r="I54" s="12">
        <f>(I9+$I$51)*I7</f>
        <v>7467.1400675742825</v>
      </c>
      <c r="J54" s="11">
        <f>(J9+$J$51)*J7</f>
        <v>8999.9721474709331</v>
      </c>
      <c r="K54" s="11">
        <f>(K9+$K$51)*I7</f>
        <v>8326.2043713405565</v>
      </c>
      <c r="L54" s="45"/>
      <c r="M54" s="22"/>
    </row>
    <row r="55" spans="1:25" s="2" customFormat="1" x14ac:dyDescent="0.25">
      <c r="A55" s="63" t="s">
        <v>0</v>
      </c>
      <c r="B55" s="62"/>
      <c r="C55" s="62"/>
      <c r="D55" s="62"/>
      <c r="E55" s="62"/>
      <c r="F55" s="62"/>
      <c r="G55" s="62"/>
      <c r="H55" s="62"/>
      <c r="I55" s="12">
        <f>(I9+$I$51)*I8</f>
        <v>9292.4409729813306</v>
      </c>
      <c r="J55" s="11">
        <f>(J9+$J$51)*J8</f>
        <v>11199.965339074939</v>
      </c>
      <c r="K55" s="11">
        <f>(K9+$K$51)*K8</f>
        <v>10361.498773223802</v>
      </c>
      <c r="L55" s="45"/>
      <c r="M55" s="22"/>
    </row>
    <row r="56" spans="1:25" s="2" customFormat="1" ht="17.25" customHeight="1" x14ac:dyDescent="0.25">
      <c r="A56" s="65" t="s">
        <v>29</v>
      </c>
      <c r="B56" s="62"/>
      <c r="C56" s="62"/>
      <c r="D56" s="62"/>
      <c r="E56" s="62"/>
      <c r="F56" s="62"/>
      <c r="G56" s="62"/>
      <c r="H56" s="62"/>
      <c r="I56" s="53">
        <f>-I30/I5/6</f>
        <v>78.818222973047583</v>
      </c>
      <c r="J56" s="52">
        <f>-J35/J5/6</f>
        <v>95.683690527454814</v>
      </c>
      <c r="K56" s="52">
        <f>-K35/K5/6</f>
        <v>88.024741903783948</v>
      </c>
      <c r="L56" s="45"/>
      <c r="M56" s="22"/>
    </row>
    <row r="57" spans="1:25" s="2" customFormat="1" ht="30" x14ac:dyDescent="0.25">
      <c r="A57" s="64" t="s">
        <v>28</v>
      </c>
      <c r="B57" s="62"/>
      <c r="C57" s="62"/>
      <c r="D57" s="62"/>
      <c r="E57" s="62"/>
      <c r="F57" s="62"/>
      <c r="G57" s="62"/>
      <c r="H57" s="62"/>
      <c r="I57" s="53"/>
      <c r="J57" s="52"/>
      <c r="K57" s="52"/>
      <c r="L57" s="45"/>
      <c r="M57" s="22"/>
    </row>
    <row r="58" spans="1:25" s="2" customFormat="1" x14ac:dyDescent="0.25">
      <c r="A58" s="63" t="s">
        <v>2</v>
      </c>
      <c r="B58" s="62"/>
      <c r="C58" s="62"/>
      <c r="D58" s="62"/>
      <c r="E58" s="62"/>
      <c r="F58" s="62"/>
      <c r="G58" s="62"/>
      <c r="H58" s="62"/>
      <c r="I58" s="61">
        <f>(I6+$I$56)*I9</f>
        <v>928.09125067629498</v>
      </c>
      <c r="J58" s="60">
        <f>($I$6+$J$56)*J9</f>
        <v>1110.7976166329902</v>
      </c>
      <c r="K58" s="60">
        <f>($I$6+$K$56)*K9</f>
        <v>1086.4729949980019</v>
      </c>
      <c r="L58" s="45"/>
      <c r="M58" s="22"/>
    </row>
    <row r="59" spans="1:25" s="2" customFormat="1" x14ac:dyDescent="0.25">
      <c r="A59" s="63" t="s">
        <v>1</v>
      </c>
      <c r="B59" s="62"/>
      <c r="C59" s="62"/>
      <c r="D59" s="62"/>
      <c r="E59" s="62"/>
      <c r="F59" s="62"/>
      <c r="G59" s="62"/>
      <c r="H59" s="62"/>
      <c r="I59" s="61">
        <f>(I7+I56)*I9</f>
        <v>1027.6912506762951</v>
      </c>
      <c r="J59" s="60">
        <f>(J7+J56)*J9</f>
        <v>1214.3816166329902</v>
      </c>
      <c r="K59" s="60">
        <f>(K7+K56)*K9</f>
        <v>1194.2003549980018</v>
      </c>
      <c r="L59" s="45"/>
      <c r="M59" s="22"/>
    </row>
    <row r="60" spans="1:25" s="4" customFormat="1" ht="15.75" thickBot="1" x14ac:dyDescent="0.3">
      <c r="A60" s="59" t="s">
        <v>0</v>
      </c>
      <c r="B60" s="58"/>
      <c r="C60" s="58"/>
      <c r="D60" s="58"/>
      <c r="E60" s="58"/>
      <c r="F60" s="58"/>
      <c r="G60" s="58"/>
      <c r="H60" s="58"/>
      <c r="I60" s="57">
        <f>(I8+$I$56)*I9</f>
        <v>1118.9912506762948</v>
      </c>
      <c r="J60" s="56">
        <f>(J8+$J$56)*J9</f>
        <v>1309.3336166329902</v>
      </c>
      <c r="K60" s="56">
        <f>(K8+$K$56)*K9</f>
        <v>1292.9504349980018</v>
      </c>
      <c r="L60" s="41"/>
      <c r="M60" s="2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s="2" customFormat="1" ht="18.75" customHeight="1" x14ac:dyDescent="0.25">
      <c r="A61" s="40" t="s">
        <v>27</v>
      </c>
      <c r="B61" s="39"/>
      <c r="C61" s="39"/>
      <c r="D61" s="39"/>
      <c r="E61" s="39"/>
      <c r="F61" s="39"/>
      <c r="G61" s="39"/>
      <c r="H61" s="39"/>
      <c r="I61" s="17"/>
      <c r="J61" s="23"/>
      <c r="K61" s="23"/>
      <c r="L61" s="45"/>
      <c r="M61" s="22"/>
    </row>
    <row r="62" spans="1:25" s="2" customFormat="1" x14ac:dyDescent="0.25">
      <c r="A62" s="19" t="s">
        <v>26</v>
      </c>
      <c r="B62" s="39"/>
      <c r="C62" s="39"/>
      <c r="D62" s="39"/>
      <c r="E62" s="39"/>
      <c r="F62" s="39"/>
      <c r="G62" s="39"/>
      <c r="H62" s="39"/>
      <c r="I62" s="149">
        <f>-I30</f>
        <v>1427666</v>
      </c>
      <c r="J62" s="55">
        <f>-J35</f>
        <v>1733156.96</v>
      </c>
      <c r="K62" s="55">
        <f>-K35</f>
        <v>1594427.3600000003</v>
      </c>
      <c r="L62" s="45"/>
      <c r="M62" s="22"/>
    </row>
    <row r="63" spans="1:25" s="2" customFormat="1" x14ac:dyDescent="0.25">
      <c r="A63" s="30" t="s">
        <v>25</v>
      </c>
      <c r="B63" s="39"/>
      <c r="C63" s="39"/>
      <c r="D63" s="39"/>
      <c r="E63" s="39"/>
      <c r="F63" s="39"/>
      <c r="G63" s="39"/>
      <c r="H63" s="39"/>
      <c r="I63" s="29">
        <v>6</v>
      </c>
      <c r="J63" s="28">
        <v>6</v>
      </c>
      <c r="K63" s="28">
        <v>6</v>
      </c>
      <c r="L63" s="45"/>
      <c r="M63" s="22"/>
    </row>
    <row r="64" spans="1:25" s="2" customFormat="1" ht="30" x14ac:dyDescent="0.25">
      <c r="A64" s="19" t="s">
        <v>24</v>
      </c>
      <c r="B64" s="39"/>
      <c r="C64" s="39"/>
      <c r="D64" s="39"/>
      <c r="E64" s="39"/>
      <c r="F64" s="39"/>
      <c r="G64" s="39"/>
      <c r="H64" s="39"/>
      <c r="I64" s="49">
        <f>I62/I63</f>
        <v>237944.33333333334</v>
      </c>
      <c r="J64" s="48">
        <f>J62/J63</f>
        <v>288859.49333333335</v>
      </c>
      <c r="K64" s="48">
        <f>K62/K63</f>
        <v>265737.89333333337</v>
      </c>
      <c r="L64" s="45"/>
      <c r="M64" s="22"/>
    </row>
    <row r="65" spans="1:25" s="2" customFormat="1" ht="30" x14ac:dyDescent="0.25">
      <c r="A65" s="19" t="s">
        <v>23</v>
      </c>
      <c r="B65" s="39"/>
      <c r="C65" s="39"/>
      <c r="D65" s="39"/>
      <c r="E65" s="39"/>
      <c r="F65" s="39"/>
      <c r="G65" s="39"/>
      <c r="H65" s="39"/>
      <c r="I65" s="49">
        <f>0.95*I24-I64</f>
        <v>-214616.38736333334</v>
      </c>
      <c r="J65" s="48">
        <f>0.95*J24-J64</f>
        <v>-265759.49472109735</v>
      </c>
      <c r="K65" s="48">
        <f>0.95*K24-K64</f>
        <v>-241793.70872530137</v>
      </c>
      <c r="L65" s="45"/>
      <c r="M65" s="22"/>
    </row>
    <row r="66" spans="1:25" s="2" customFormat="1" x14ac:dyDescent="0.25">
      <c r="A66" s="54" t="s">
        <v>22</v>
      </c>
      <c r="B66" s="39"/>
      <c r="C66" s="39"/>
      <c r="D66" s="39"/>
      <c r="E66" s="39"/>
      <c r="F66" s="39"/>
      <c r="G66" s="39"/>
      <c r="H66" s="39"/>
      <c r="I66" s="53">
        <f>-IF(I65&gt;0,0,I65/I5)</f>
        <v>71.090922973047583</v>
      </c>
      <c r="J66" s="52">
        <f>-IF(J65&gt;0,0,J65/J5)</f>
        <v>88.031897287454811</v>
      </c>
      <c r="K66" s="52">
        <f>-IF(K65&gt;0,0,K65/K5)</f>
        <v>80.093315023783944</v>
      </c>
      <c r="L66" s="45"/>
      <c r="M66" s="22"/>
    </row>
    <row r="67" spans="1:25" s="2" customFormat="1" ht="30" x14ac:dyDescent="0.25">
      <c r="A67" s="19" t="s">
        <v>21</v>
      </c>
      <c r="B67" s="39"/>
      <c r="C67" s="39"/>
      <c r="D67" s="39"/>
      <c r="E67" s="39"/>
      <c r="F67" s="39"/>
      <c r="G67" s="39"/>
      <c r="H67" s="39"/>
      <c r="I67" s="16"/>
      <c r="J67" s="15"/>
      <c r="K67" s="15"/>
      <c r="L67" s="45"/>
      <c r="M67" s="22"/>
    </row>
    <row r="68" spans="1:25" s="2" customFormat="1" x14ac:dyDescent="0.25">
      <c r="A68" s="14" t="s">
        <v>2</v>
      </c>
      <c r="B68" s="39"/>
      <c r="C68" s="39"/>
      <c r="D68" s="39"/>
      <c r="E68" s="39"/>
      <c r="F68" s="39"/>
      <c r="G68" s="39"/>
      <c r="H68" s="39"/>
      <c r="I68" s="51">
        <f>IF(I66&gt;0,(I66+I9)*I6,I21)</f>
        <v>2619.9004581105701</v>
      </c>
      <c r="J68" s="50">
        <f>IF(J66&gt;0,(J66+J9)*J6,J21)</f>
        <v>3189.9086104860089</v>
      </c>
      <c r="K68" s="50">
        <f>IF(K66&gt;0,(K66+K9)*K6,K21)</f>
        <v>2939.3296357848703</v>
      </c>
      <c r="L68" s="45"/>
      <c r="M68" s="22"/>
    </row>
    <row r="69" spans="1:25" s="2" customFormat="1" x14ac:dyDescent="0.25">
      <c r="A69" s="14" t="s">
        <v>1</v>
      </c>
      <c r="B69" s="39"/>
      <c r="C69" s="39"/>
      <c r="D69" s="39"/>
      <c r="E69" s="39"/>
      <c r="F69" s="39"/>
      <c r="G69" s="39"/>
      <c r="H69" s="39"/>
      <c r="I69" s="51">
        <f>IF(I65&lt;0,(I66+I9)*I7,I22)</f>
        <v>3572.5915337871411</v>
      </c>
      <c r="J69" s="50">
        <f>IF(J65&lt;0,(J66+J9)*J7,J22)</f>
        <v>4349.8753779354665</v>
      </c>
      <c r="K69" s="50">
        <f>IF(K65&lt;0,(K66+K9)*K7,K22)</f>
        <v>4008.1767760702778</v>
      </c>
      <c r="L69" s="45"/>
      <c r="M69" s="22"/>
    </row>
    <row r="70" spans="1:25" s="2" customFormat="1" x14ac:dyDescent="0.25">
      <c r="A70" s="14" t="s">
        <v>0</v>
      </c>
      <c r="B70" s="39"/>
      <c r="C70" s="39"/>
      <c r="D70" s="39"/>
      <c r="E70" s="39"/>
      <c r="F70" s="39"/>
      <c r="G70" s="39"/>
      <c r="H70" s="39"/>
      <c r="I70" s="51">
        <f>IF(I65&lt;0,(I66+I9)*I8,I23)</f>
        <v>4445.8916864906641</v>
      </c>
      <c r="J70" s="50">
        <f>IF(J65&lt;0,(J66+J9)*J8,J23)</f>
        <v>5413.1782480974698</v>
      </c>
      <c r="K70" s="50">
        <f>IF(K65&lt;0,(K66+K9)*K8,K23)</f>
        <v>4987.953321331901</v>
      </c>
      <c r="L70" s="45"/>
      <c r="M70" s="22"/>
    </row>
    <row r="71" spans="1:25" s="2" customFormat="1" x14ac:dyDescent="0.25">
      <c r="A71" s="30" t="s">
        <v>20</v>
      </c>
      <c r="B71" s="39"/>
      <c r="C71" s="39"/>
      <c r="D71" s="39"/>
      <c r="E71" s="39"/>
      <c r="F71" s="39"/>
      <c r="G71" s="39"/>
      <c r="H71" s="39"/>
      <c r="I71" s="87">
        <v>12</v>
      </c>
      <c r="J71" s="92">
        <v>12</v>
      </c>
      <c r="K71" s="92">
        <v>12</v>
      </c>
      <c r="L71" s="45"/>
      <c r="M71" s="22"/>
    </row>
    <row r="72" spans="1:25" s="2" customFormat="1" ht="30" x14ac:dyDescent="0.25">
      <c r="A72" s="19" t="s">
        <v>19</v>
      </c>
      <c r="B72" s="39"/>
      <c r="C72" s="39"/>
      <c r="D72" s="39"/>
      <c r="E72" s="39"/>
      <c r="F72" s="39"/>
      <c r="G72" s="39"/>
      <c r="H72" s="39"/>
      <c r="I72" s="16">
        <f>I62/I71</f>
        <v>118972.16666666667</v>
      </c>
      <c r="J72" s="15">
        <f>J62/J71</f>
        <v>144429.74666666667</v>
      </c>
      <c r="K72" s="15">
        <f>K62/K71</f>
        <v>132868.94666666668</v>
      </c>
      <c r="L72" s="45"/>
      <c r="M72" s="22"/>
    </row>
    <row r="73" spans="1:25" s="2" customFormat="1" ht="30" x14ac:dyDescent="0.25">
      <c r="A73" s="19" t="s">
        <v>18</v>
      </c>
      <c r="B73" s="39"/>
      <c r="C73" s="39"/>
      <c r="D73" s="39"/>
      <c r="E73" s="39"/>
      <c r="F73" s="39"/>
      <c r="G73" s="39"/>
      <c r="H73" s="39"/>
      <c r="I73" s="49">
        <f>I24*0.95-I72</f>
        <v>-95644.220696666671</v>
      </c>
      <c r="J73" s="48">
        <f>J24*0.95-J72</f>
        <v>-121329.74805443067</v>
      </c>
      <c r="K73" s="15">
        <f>K24*0.95-K72</f>
        <v>-108924.76205863467</v>
      </c>
      <c r="L73" s="45"/>
      <c r="M73" s="22"/>
    </row>
    <row r="74" spans="1:25" s="2" customFormat="1" x14ac:dyDescent="0.25">
      <c r="A74" s="19" t="s">
        <v>17</v>
      </c>
      <c r="B74" s="39"/>
      <c r="C74" s="39"/>
      <c r="D74" s="39"/>
      <c r="E74" s="39"/>
      <c r="F74" s="39"/>
      <c r="G74" s="39"/>
      <c r="H74" s="39"/>
      <c r="I74" s="47">
        <f>IF(I73&lt;0,I72/I5,0)</f>
        <v>39.409111486523791</v>
      </c>
      <c r="J74" s="46">
        <f>IF(J73&lt;0,J72/J5,0)</f>
        <v>47.841845263727407</v>
      </c>
      <c r="K74" s="46">
        <f>IF(K73&lt;0,K72/K5,0)</f>
        <v>44.012370951891974</v>
      </c>
      <c r="L74" s="45"/>
      <c r="M74" s="22"/>
    </row>
    <row r="75" spans="1:25" s="2" customFormat="1" ht="30" x14ac:dyDescent="0.25">
      <c r="A75" s="19" t="s">
        <v>16</v>
      </c>
      <c r="B75" s="39"/>
      <c r="C75" s="39"/>
      <c r="D75" s="39"/>
      <c r="E75" s="39"/>
      <c r="F75" s="39"/>
      <c r="G75" s="39"/>
      <c r="H75" s="39"/>
      <c r="I75" s="16"/>
      <c r="J75" s="15"/>
      <c r="K75" s="15"/>
      <c r="L75" s="45"/>
      <c r="M75" s="22"/>
    </row>
    <row r="76" spans="1:25" s="2" customFormat="1" x14ac:dyDescent="0.25">
      <c r="A76" s="14" t="s">
        <v>2</v>
      </c>
      <c r="B76" s="39"/>
      <c r="C76" s="39"/>
      <c r="D76" s="39"/>
      <c r="E76" s="39"/>
      <c r="F76" s="39"/>
      <c r="G76" s="39"/>
      <c r="H76" s="39"/>
      <c r="I76" s="12">
        <f>IF(I74=0,I21,I21+(I74*I6))</f>
        <v>1574.4006790552853</v>
      </c>
      <c r="J76" s="11">
        <f>IF(J74=0,J21,J21+(J74*J6))</f>
        <v>1863.6368937030045</v>
      </c>
      <c r="K76" s="11">
        <f>IF(K73&lt;0,(K74+K9)*K6,K21)</f>
        <v>1748.6584814124351</v>
      </c>
      <c r="L76" s="45"/>
      <c r="M76" s="22"/>
    </row>
    <row r="77" spans="1:25" s="2" customFormat="1" x14ac:dyDescent="0.25">
      <c r="A77" s="14" t="s">
        <v>1</v>
      </c>
      <c r="B77" s="39"/>
      <c r="C77" s="39"/>
      <c r="D77" s="39"/>
      <c r="E77" s="39"/>
      <c r="F77" s="39"/>
      <c r="G77" s="39"/>
      <c r="H77" s="39"/>
      <c r="I77" s="12">
        <f>IF(I74=0,I22,I22+(I74*I7))</f>
        <v>2146.9100168935706</v>
      </c>
      <c r="J77" s="11">
        <f>IF(J73&lt;0,(J74+J9)*J7,J22)</f>
        <v>2541.3230368677337</v>
      </c>
      <c r="K77" s="11">
        <f>IF(K73&lt;0,(K74+K9)*K7,K22)</f>
        <v>2384.5342928351388</v>
      </c>
      <c r="L77" s="45"/>
      <c r="M77" s="22"/>
    </row>
    <row r="78" spans="1:25" s="4" customFormat="1" ht="15.75" thickBot="1" x14ac:dyDescent="0.3">
      <c r="A78" s="9" t="s">
        <v>0</v>
      </c>
      <c r="B78" s="44"/>
      <c r="C78" s="44"/>
      <c r="D78" s="44"/>
      <c r="E78" s="44"/>
      <c r="F78" s="44"/>
      <c r="G78" s="44"/>
      <c r="H78" s="44"/>
      <c r="I78" s="43">
        <f>IF(I74=0,I23,I23+(I74*I8))</f>
        <v>2671.7102432453325</v>
      </c>
      <c r="J78" s="42">
        <f>IF(J73&lt;0,(J74+J9)*J8,J23)</f>
        <v>3162.5353347687351</v>
      </c>
      <c r="K78" s="42">
        <f>IF(K73&lt;0,(K74+K9)*K8,K23)</f>
        <v>2967.4204533059506</v>
      </c>
      <c r="L78" s="41"/>
      <c r="M78" s="2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s="2" customFormat="1" x14ac:dyDescent="0.25">
      <c r="A79" s="40" t="s">
        <v>15</v>
      </c>
      <c r="B79" s="17"/>
      <c r="C79" s="17"/>
      <c r="D79" s="17"/>
      <c r="E79" s="17"/>
      <c r="F79" s="17"/>
      <c r="G79" s="17"/>
      <c r="H79" s="17"/>
      <c r="I79" s="16"/>
      <c r="J79" s="15"/>
      <c r="K79" s="15"/>
      <c r="L79" s="23"/>
      <c r="M79" s="22"/>
    </row>
    <row r="80" spans="1:25" s="2" customFormat="1" x14ac:dyDescent="0.25">
      <c r="A80" s="19" t="s">
        <v>14</v>
      </c>
      <c r="B80" s="39"/>
      <c r="C80" s="38"/>
      <c r="D80" s="17"/>
      <c r="E80" s="17"/>
      <c r="F80" s="17"/>
      <c r="G80" s="17"/>
      <c r="H80" s="17"/>
      <c r="I80" s="37">
        <f>-I30</f>
        <v>1427666</v>
      </c>
      <c r="J80" s="36">
        <f>-J35</f>
        <v>1733156.96</v>
      </c>
      <c r="K80" s="36">
        <f>-K35</f>
        <v>1594427.3600000003</v>
      </c>
      <c r="L80" s="23"/>
      <c r="M80" s="22"/>
    </row>
    <row r="81" spans="1:25" s="2" customFormat="1" x14ac:dyDescent="0.25">
      <c r="A81" s="19" t="s">
        <v>13</v>
      </c>
      <c r="B81" s="24"/>
      <c r="C81" s="17"/>
      <c r="D81" s="17"/>
      <c r="E81" s="17"/>
      <c r="F81" s="17"/>
      <c r="G81" s="17"/>
      <c r="H81" s="17"/>
      <c r="I81" s="35">
        <v>0.12</v>
      </c>
      <c r="J81" s="34">
        <v>0.12</v>
      </c>
      <c r="K81" s="33">
        <v>0.12</v>
      </c>
      <c r="L81" s="23"/>
      <c r="M81" s="22"/>
    </row>
    <row r="82" spans="1:25" s="26" customFormat="1" x14ac:dyDescent="0.25">
      <c r="A82" s="30" t="s">
        <v>12</v>
      </c>
      <c r="B82" s="29"/>
      <c r="C82" s="29"/>
      <c r="D82" s="29"/>
      <c r="E82" s="29"/>
      <c r="F82" s="29"/>
      <c r="G82" s="29"/>
      <c r="H82" s="29"/>
      <c r="I82" s="29">
        <v>12</v>
      </c>
      <c r="J82" s="28">
        <v>12</v>
      </c>
      <c r="K82" s="28">
        <v>12</v>
      </c>
      <c r="L82" s="28"/>
      <c r="M82" s="27"/>
    </row>
    <row r="83" spans="1:25" s="2" customFormat="1" x14ac:dyDescent="0.25">
      <c r="A83" s="19" t="s">
        <v>11</v>
      </c>
      <c r="B83" s="18"/>
      <c r="C83" s="17"/>
      <c r="D83" s="17"/>
      <c r="E83" s="17"/>
      <c r="F83" s="17"/>
      <c r="G83" s="17"/>
      <c r="H83" s="17"/>
      <c r="I83" s="16">
        <f>-PMT(I81/12,I82,I80)</f>
        <v>126846.39473725336</v>
      </c>
      <c r="J83" s="15">
        <f>-PMT(J81/12,J82,J80)</f>
        <v>153988.89648543712</v>
      </c>
      <c r="K83" s="15">
        <f>-PMT(K81/12,K82,K80)</f>
        <v>141662.93957160626</v>
      </c>
      <c r="L83" s="23"/>
      <c r="M83" s="22"/>
    </row>
    <row r="84" spans="1:25" s="2" customFormat="1" ht="30" x14ac:dyDescent="0.25">
      <c r="A84" s="25" t="s">
        <v>10</v>
      </c>
      <c r="B84" s="24"/>
      <c r="C84" s="17"/>
      <c r="D84" s="17"/>
      <c r="E84" s="17"/>
      <c r="F84" s="17"/>
      <c r="G84" s="17"/>
      <c r="H84" s="17"/>
      <c r="I84" s="16">
        <f>0.8*I24-I83</f>
        <v>-107201.80865725335</v>
      </c>
      <c r="J84" s="15">
        <f>0.8*J24-J83</f>
        <v>-134536.26607513311</v>
      </c>
      <c r="K84" s="15">
        <f>0.8*K24-K83</f>
        <v>-121499.41569115825</v>
      </c>
      <c r="L84" s="23"/>
      <c r="M84" s="22"/>
    </row>
    <row r="85" spans="1:25" s="2" customFormat="1" x14ac:dyDescent="0.25">
      <c r="A85" s="19" t="s">
        <v>9</v>
      </c>
      <c r="B85" s="16"/>
      <c r="C85" s="16"/>
      <c r="D85" s="16"/>
      <c r="E85" s="16"/>
      <c r="F85" s="16"/>
      <c r="G85" s="16"/>
      <c r="H85" s="16"/>
      <c r="I85" s="144">
        <f>-IF(I84&lt;0,I84/I5,0)</f>
        <v>35.510221821608319</v>
      </c>
      <c r="J85" s="145">
        <f>-IF(J84&lt;0,J84/J5,0)</f>
        <v>44.564664637826063</v>
      </c>
      <c r="K85" s="67">
        <f>-IF(K84&lt;0,K84/K5,0)</f>
        <v>40.246253831249213</v>
      </c>
      <c r="L85" s="15"/>
      <c r="M85" s="22"/>
    </row>
    <row r="86" spans="1:25" s="2" customFormat="1" x14ac:dyDescent="0.25">
      <c r="A86" s="19" t="s">
        <v>8</v>
      </c>
      <c r="B86" s="18"/>
      <c r="C86" s="17"/>
      <c r="D86" s="17"/>
      <c r="E86" s="17"/>
      <c r="F86" s="17"/>
      <c r="G86" s="17"/>
      <c r="H86" s="17"/>
      <c r="I86" s="32"/>
      <c r="J86" s="31"/>
      <c r="K86" s="23"/>
      <c r="L86" s="23"/>
      <c r="M86" s="22"/>
    </row>
    <row r="87" spans="1:25" s="2" customFormat="1" x14ac:dyDescent="0.25">
      <c r="A87" s="14" t="s">
        <v>2</v>
      </c>
      <c r="B87" s="13"/>
      <c r="C87" s="13"/>
      <c r="D87" s="13"/>
      <c r="E87" s="13"/>
      <c r="F87" s="13"/>
      <c r="G87" s="13"/>
      <c r="H87" s="13"/>
      <c r="I87" s="12">
        <f>IF(I84&lt;0,(I85+I9)*I6,I21)</f>
        <v>1445.7373201130747</v>
      </c>
      <c r="J87" s="11">
        <f>IF(J84&lt;0,(J85+J9)*J6,J21)</f>
        <v>1755.4899330482599</v>
      </c>
      <c r="K87" s="11">
        <f>IF(K84&lt;0,(K85+K9)*K6,K21)</f>
        <v>1624.376616431224</v>
      </c>
      <c r="L87" s="23"/>
      <c r="M87" s="22"/>
    </row>
    <row r="88" spans="1:25" s="2" customFormat="1" x14ac:dyDescent="0.25">
      <c r="A88" s="14" t="s">
        <v>1</v>
      </c>
      <c r="B88" s="13"/>
      <c r="C88" s="13"/>
      <c r="D88" s="13"/>
      <c r="E88" s="13"/>
      <c r="F88" s="13"/>
      <c r="G88" s="13"/>
      <c r="H88" s="13"/>
      <c r="I88" s="12">
        <f>IF(I85&gt;0,(I85+I9)*I7,I22)</f>
        <v>1971.4599819723746</v>
      </c>
      <c r="J88" s="11">
        <f>IF(J85&gt;0,(J85+J9)*J7,J22)</f>
        <v>2393.8499087021728</v>
      </c>
      <c r="K88" s="11">
        <f>IF(K85&gt;0,(K85+K9)*K7,K22)</f>
        <v>2215.0590224062148</v>
      </c>
      <c r="L88" s="23"/>
      <c r="M88" s="22"/>
    </row>
    <row r="89" spans="1:25" s="2" customFormat="1" x14ac:dyDescent="0.25">
      <c r="A89" s="14" t="s">
        <v>0</v>
      </c>
      <c r="B89" s="13"/>
      <c r="C89" s="13"/>
      <c r="D89" s="13"/>
      <c r="E89" s="13"/>
      <c r="F89" s="13"/>
      <c r="G89" s="13"/>
      <c r="H89" s="13"/>
      <c r="I89" s="166">
        <f>IF(I84&lt;0,(I85+I9)*I8,I23)</f>
        <v>2453.3724220100662</v>
      </c>
      <c r="J89" s="167">
        <f>IF(J84&lt;0,(J85+J9)*J8,J23)</f>
        <v>2979.0132197182593</v>
      </c>
      <c r="K89" s="167">
        <f>IF(K84&lt;0,(K85+K9)*K8,K23)</f>
        <v>2756.5178945499561</v>
      </c>
      <c r="L89" s="23"/>
      <c r="M89" s="22"/>
    </row>
    <row r="90" spans="1:25" s="26" customFormat="1" x14ac:dyDescent="0.25">
      <c r="A90" s="30" t="s">
        <v>7</v>
      </c>
      <c r="B90" s="29"/>
      <c r="C90" s="29"/>
      <c r="D90" s="29"/>
      <c r="E90" s="29"/>
      <c r="F90" s="29"/>
      <c r="G90" s="29"/>
      <c r="H90" s="29"/>
      <c r="I90" s="29">
        <v>36</v>
      </c>
      <c r="J90" s="28">
        <v>36</v>
      </c>
      <c r="K90" s="28">
        <v>36</v>
      </c>
      <c r="L90" s="28"/>
      <c r="M90" s="27"/>
    </row>
    <row r="91" spans="1:25" s="2" customFormat="1" ht="21.95" customHeight="1" x14ac:dyDescent="0.25">
      <c r="A91" s="19" t="s">
        <v>6</v>
      </c>
      <c r="B91" s="18"/>
      <c r="C91" s="17"/>
      <c r="D91" s="17"/>
      <c r="E91" s="17"/>
      <c r="F91" s="17"/>
      <c r="G91" s="17"/>
      <c r="H91" s="17"/>
      <c r="I91" s="16">
        <f>-PMT(I81/12,I90,I80)</f>
        <v>47418.940833274006</v>
      </c>
      <c r="J91" s="15">
        <f>-PMT(J81/12,J90,J80)</f>
        <v>57565.612223739336</v>
      </c>
      <c r="K91" s="15">
        <f>-PMT(K81/12,K90,K80)</f>
        <v>52957.804309126426</v>
      </c>
      <c r="L91" s="23"/>
      <c r="M91" s="22"/>
    </row>
    <row r="92" spans="1:25" s="4" customFormat="1" ht="30.75" thickBot="1" x14ac:dyDescent="0.3">
      <c r="A92" s="25" t="s">
        <v>5</v>
      </c>
      <c r="B92" s="24"/>
      <c r="C92" s="17"/>
      <c r="D92" s="17"/>
      <c r="E92" s="17"/>
      <c r="F92" s="17"/>
      <c r="G92" s="17"/>
      <c r="H92" s="17"/>
      <c r="I92" s="16">
        <f>0.8*I24-I91</f>
        <v>-27774.354753274001</v>
      </c>
      <c r="J92" s="15">
        <f>0.8*J24-J91</f>
        <v>-38112.981813435326</v>
      </c>
      <c r="K92" s="15">
        <f>0.8*K24-K91</f>
        <v>-32794.280428678423</v>
      </c>
      <c r="L92" s="23"/>
      <c r="M92" s="2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30" x14ac:dyDescent="0.25">
      <c r="A93" s="19" t="s">
        <v>4</v>
      </c>
      <c r="B93" s="16"/>
      <c r="C93" s="16"/>
      <c r="D93" s="16"/>
      <c r="E93" s="16"/>
      <c r="F93" s="16"/>
      <c r="G93" s="16"/>
      <c r="H93" s="16"/>
      <c r="I93" s="21">
        <f>-IF(I92&lt;0,I92/I5,0)</f>
        <v>9.200157260351121</v>
      </c>
      <c r="J93" s="20">
        <f>-IF(J92&lt;0,J92/J5,0)</f>
        <v>12.624791087295149</v>
      </c>
      <c r="K93" s="20">
        <f>-IF(K92&lt;0,K92/K5,0)</f>
        <v>10.862989972731267</v>
      </c>
      <c r="L93" s="10"/>
    </row>
    <row r="94" spans="1:25" ht="30" x14ac:dyDescent="0.25">
      <c r="A94" s="19" t="s">
        <v>3</v>
      </c>
      <c r="B94" s="18"/>
      <c r="C94" s="17"/>
      <c r="D94" s="17"/>
      <c r="E94" s="17"/>
      <c r="F94" s="17"/>
      <c r="G94" s="17"/>
      <c r="H94" s="17"/>
      <c r="I94" s="16"/>
      <c r="J94" s="15"/>
      <c r="K94" s="15"/>
      <c r="L94" s="10"/>
    </row>
    <row r="95" spans="1:25" x14ac:dyDescent="0.25">
      <c r="A95" s="14" t="s">
        <v>2</v>
      </c>
      <c r="B95" s="13"/>
      <c r="C95" s="13"/>
      <c r="D95" s="13"/>
      <c r="E95" s="13"/>
      <c r="F95" s="13"/>
      <c r="G95" s="13"/>
      <c r="H95" s="13"/>
      <c r="I95" s="12">
        <f>IF(I92&lt;0,(I93+I9)*I6,I21)</f>
        <v>577.50518959158705</v>
      </c>
      <c r="J95" s="11">
        <f>IF(J92&lt;0,(J93+J9)*J6,J21)</f>
        <v>701.4741058807399</v>
      </c>
      <c r="K95" s="11">
        <f>IF(K92&lt;0,(K93+K9)*K6,K21)</f>
        <v>654.72890910013189</v>
      </c>
      <c r="L95" s="10"/>
    </row>
    <row r="96" spans="1:25" x14ac:dyDescent="0.25">
      <c r="A96" s="14" t="s">
        <v>1</v>
      </c>
      <c r="B96" s="13"/>
      <c r="C96" s="13"/>
      <c r="D96" s="13"/>
      <c r="E96" s="13"/>
      <c r="F96" s="13"/>
      <c r="G96" s="13"/>
      <c r="H96" s="13"/>
      <c r="I96" s="12">
        <f>IF(I92&lt;0,(I93+I9)*I7,I22)</f>
        <v>787.50707671580051</v>
      </c>
      <c r="J96" s="11">
        <f>IF(J92&lt;0,(J93+J9)*J7,J22)</f>
        <v>956.55559892828171</v>
      </c>
      <c r="K96" s="11">
        <f>IF(K92&lt;0,(K93+K9)*K7,K22)</f>
        <v>892.81214877290722</v>
      </c>
      <c r="L96" s="10"/>
    </row>
    <row r="97" spans="1:25" s="4" customFormat="1" ht="15.75" thickBot="1" x14ac:dyDescent="0.3">
      <c r="A97" s="9" t="s">
        <v>0</v>
      </c>
      <c r="B97" s="8"/>
      <c r="C97" s="8"/>
      <c r="D97" s="8"/>
      <c r="E97" s="8"/>
      <c r="F97" s="8"/>
      <c r="G97" s="8"/>
      <c r="H97" s="8"/>
      <c r="I97" s="7">
        <f>IF(I92&lt;0,(I93+I9)*I8,I23)</f>
        <v>980.00880657966286</v>
      </c>
      <c r="J97" s="6">
        <f>IF(J92&lt;0,(J93+J9)*J8,J23)</f>
        <v>1190.3803008885284</v>
      </c>
      <c r="K97" s="6">
        <f>IF(K92&lt;0,(K93+K9)*K8,K23)</f>
        <v>1111.0551184729511</v>
      </c>
      <c r="L97" s="5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</sheetData>
  <sheetProtection algorithmName="SHA-512" hashValue="UfWRT3h7cuUMawLKOsB/o4PaqO07e/ZI6uiueFovjFUcAx/BRyntzrHQXo2MX/S4DXrGB9Zl6/RSQLsvJ9ZEMw==" saltValue="ikdB6kTDLFzwWf8cr9SmbA==" spinCount="100000" sheet="1" objects="1" scenarios="1"/>
  <mergeCells count="2">
    <mergeCell ref="A1:L1"/>
    <mergeCell ref="A2:J2"/>
  </mergeCells>
  <conditionalFormatting sqref="I29:I31">
    <cfRule type="cellIs" dxfId="9" priority="10" operator="lessThan">
      <formula>0</formula>
    </cfRule>
  </conditionalFormatting>
  <conditionalFormatting sqref="I35:K35">
    <cfRule type="cellIs" dxfId="8" priority="9" operator="lessThan">
      <formula>0</formula>
    </cfRule>
  </conditionalFormatting>
  <conditionalFormatting sqref="I43:K43">
    <cfRule type="cellIs" dxfId="7" priority="8" operator="lessThan">
      <formula>0</formula>
    </cfRule>
  </conditionalFormatting>
  <conditionalFormatting sqref="I49:K49">
    <cfRule type="cellIs" dxfId="6" priority="7" operator="lessThan">
      <formula>0</formula>
    </cfRule>
  </conditionalFormatting>
  <conditionalFormatting sqref="I65:K65">
    <cfRule type="cellIs" dxfId="5" priority="6" operator="lessThan">
      <formula>0</formula>
    </cfRule>
  </conditionalFormatting>
  <conditionalFormatting sqref="I73:K73">
    <cfRule type="cellIs" dxfId="4" priority="5" operator="lessThan">
      <formula>0</formula>
    </cfRule>
  </conditionalFormatting>
  <conditionalFormatting sqref="I84:K84">
    <cfRule type="cellIs" dxfId="3" priority="4" operator="lessThan">
      <formula>0</formula>
    </cfRule>
  </conditionalFormatting>
  <conditionalFormatting sqref="I91:K91">
    <cfRule type="cellIs" dxfId="2" priority="3" operator="lessThan">
      <formula>0</formula>
    </cfRule>
  </conditionalFormatting>
  <conditionalFormatting sqref="I92:K92">
    <cfRule type="cellIs" dxfId="1" priority="2" operator="lessThan">
      <formula>0</formula>
    </cfRule>
  </conditionalFormatting>
  <conditionalFormatting sqref="B29:L29">
    <cfRule type="cellIs" dxfId="0" priority="1" operator="lessThan">
      <formula>0</formula>
    </cfRule>
  </conditionalFormatting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Финмодель_форма для заполнения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Железова</dc:creator>
  <cp:lastModifiedBy>Ирина В. Генцлер</cp:lastModifiedBy>
  <cp:lastPrinted>2022-02-16T07:43:13Z</cp:lastPrinted>
  <dcterms:created xsi:type="dcterms:W3CDTF">2022-01-28T15:21:52Z</dcterms:created>
  <dcterms:modified xsi:type="dcterms:W3CDTF">2022-10-06T12:00:40Z</dcterms:modified>
</cp:coreProperties>
</file>