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инансовая модель капремонта на спецсчете\Для семинара 30 марта 2022\"/>
    </mc:Choice>
  </mc:AlternateContent>
  <bookViews>
    <workbookView xWindow="0" yWindow="0" windowWidth="28800" windowHeight="18000"/>
  </bookViews>
  <sheets>
    <sheet name="Финмодель_форма для заполнен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2" l="1"/>
  <c r="J51" i="2"/>
  <c r="I51" i="2"/>
  <c r="K45" i="2"/>
  <c r="J45" i="2"/>
  <c r="I45" i="2"/>
  <c r="J71" i="2" l="1"/>
  <c r="K71" i="2" s="1"/>
  <c r="J72" i="2"/>
  <c r="K72" i="2" s="1"/>
  <c r="J61" i="2"/>
  <c r="K61" i="2" s="1"/>
  <c r="J53" i="2"/>
  <c r="K36" i="2"/>
  <c r="J36" i="2"/>
  <c r="I36" i="2"/>
  <c r="K30" i="2"/>
  <c r="L30" i="2"/>
  <c r="I30" i="2"/>
  <c r="J16" i="2"/>
  <c r="K16" i="2" s="1"/>
  <c r="L16" i="2" s="1"/>
  <c r="K53" i="2" l="1"/>
  <c r="B25" i="2" l="1"/>
  <c r="B24" i="2"/>
  <c r="B23" i="2"/>
  <c r="B13" i="2"/>
  <c r="B28" i="2" l="1"/>
  <c r="B31" i="2" s="1"/>
  <c r="C28" i="2" l="1"/>
  <c r="D28" i="2" s="1"/>
  <c r="J10" i="2"/>
  <c r="K10" i="2" s="1"/>
  <c r="L10" i="2" s="1"/>
  <c r="H30" i="2"/>
  <c r="G30" i="2"/>
  <c r="F30" i="2"/>
  <c r="D30" i="2"/>
  <c r="C30" i="2"/>
  <c r="B30" i="2"/>
  <c r="E28" i="2" l="1"/>
  <c r="F28" i="2" s="1"/>
  <c r="G28" i="2" s="1"/>
  <c r="C6" i="2" l="1"/>
  <c r="C13" i="2" s="1"/>
  <c r="C7" i="2"/>
  <c r="C8" i="2"/>
  <c r="C9" i="2"/>
  <c r="B16" i="2"/>
  <c r="D9" i="2" l="1"/>
  <c r="C25" i="2"/>
  <c r="D8" i="2"/>
  <c r="D24" i="2" s="1"/>
  <c r="C24" i="2"/>
  <c r="D7" i="2"/>
  <c r="C23" i="2"/>
  <c r="B26" i="2"/>
  <c r="B27" i="2"/>
  <c r="D6" i="2"/>
  <c r="D13" i="2" s="1"/>
  <c r="B15" i="2"/>
  <c r="B29" i="2" s="1"/>
  <c r="E9" i="2" l="1"/>
  <c r="D25" i="2"/>
  <c r="E8" i="2"/>
  <c r="E24" i="2" s="1"/>
  <c r="E7" i="2"/>
  <c r="D23" i="2"/>
  <c r="E6" i="2"/>
  <c r="E13" i="2" s="1"/>
  <c r="H28" i="2"/>
  <c r="C15" i="2"/>
  <c r="C29" i="2" s="1"/>
  <c r="C16" i="2"/>
  <c r="D15" i="2"/>
  <c r="D16" i="2"/>
  <c r="F8" i="2" l="1"/>
  <c r="F24" i="2" s="1"/>
  <c r="E25" i="2"/>
  <c r="F9" i="2"/>
  <c r="E23" i="2"/>
  <c r="F7" i="2"/>
  <c r="D27" i="2"/>
  <c r="D26" i="2"/>
  <c r="C26" i="2"/>
  <c r="C27" i="2"/>
  <c r="C31" i="2" s="1"/>
  <c r="F6" i="2"/>
  <c r="D29" i="2"/>
  <c r="E16" i="2"/>
  <c r="E15" i="2"/>
  <c r="G8" i="2"/>
  <c r="G24" i="2" s="1"/>
  <c r="D31" i="2" l="1"/>
  <c r="F25" i="2"/>
  <c r="G9" i="2"/>
  <c r="F23" i="2"/>
  <c r="G7" i="2"/>
  <c r="G6" i="2"/>
  <c r="G13" i="2" s="1"/>
  <c r="F13" i="2"/>
  <c r="F16" i="2" s="1"/>
  <c r="E26" i="2"/>
  <c r="E27" i="2"/>
  <c r="E29" i="2"/>
  <c r="H8" i="2"/>
  <c r="H24" i="2" s="1"/>
  <c r="H6" i="2" l="1"/>
  <c r="H13" i="2" s="1"/>
  <c r="E31" i="2"/>
  <c r="G25" i="2"/>
  <c r="H9" i="2"/>
  <c r="G23" i="2"/>
  <c r="H7" i="2"/>
  <c r="F15" i="2"/>
  <c r="F29" i="2" s="1"/>
  <c r="F26" i="2"/>
  <c r="F27" i="2"/>
  <c r="G15" i="2"/>
  <c r="G16" i="2"/>
  <c r="I8" i="2"/>
  <c r="I24" i="2" s="1"/>
  <c r="I6" i="2" l="1"/>
  <c r="I13" i="2" s="1"/>
  <c r="H25" i="2"/>
  <c r="I9" i="2"/>
  <c r="H23" i="2"/>
  <c r="I7" i="2"/>
  <c r="G26" i="2"/>
  <c r="G27" i="2"/>
  <c r="F31" i="2"/>
  <c r="G29" i="2"/>
  <c r="J6" i="2"/>
  <c r="J8" i="2"/>
  <c r="J24" i="2" s="1"/>
  <c r="H15" i="2"/>
  <c r="H16" i="2"/>
  <c r="I27" i="2" l="1"/>
  <c r="I26" i="2"/>
  <c r="I25" i="2"/>
  <c r="J9" i="2"/>
  <c r="I23" i="2"/>
  <c r="J7" i="2"/>
  <c r="J13" i="2"/>
  <c r="J27" i="2"/>
  <c r="J26" i="2"/>
  <c r="H27" i="2"/>
  <c r="H26" i="2"/>
  <c r="G31" i="2"/>
  <c r="I49" i="2"/>
  <c r="I43" i="2"/>
  <c r="H29" i="2"/>
  <c r="I14" i="2"/>
  <c r="I28" i="2" s="1"/>
  <c r="K8" i="2"/>
  <c r="K24" i="2" s="1"/>
  <c r="K6" i="2"/>
  <c r="I32" i="2" l="1"/>
  <c r="I54" i="2" s="1"/>
  <c r="I56" i="2" s="1"/>
  <c r="I37" i="2"/>
  <c r="J25" i="2"/>
  <c r="K9" i="2"/>
  <c r="I50" i="2"/>
  <c r="I44" i="2"/>
  <c r="J23" i="2"/>
  <c r="K7" i="2"/>
  <c r="I42" i="2"/>
  <c r="I48" i="2"/>
  <c r="H31" i="2"/>
  <c r="I31" i="2" s="1"/>
  <c r="J31" i="2" s="1"/>
  <c r="K13" i="2"/>
  <c r="K27" i="2"/>
  <c r="K26" i="2"/>
  <c r="J49" i="2"/>
  <c r="J43" i="2"/>
  <c r="L8" i="2"/>
  <c r="I15" i="2"/>
  <c r="I29" i="2" s="1"/>
  <c r="J14" i="2"/>
  <c r="J28" i="2" s="1"/>
  <c r="J37" i="2" s="1"/>
  <c r="J54" i="2" s="1"/>
  <c r="L6" i="2"/>
  <c r="K31" i="2" l="1"/>
  <c r="J32" i="2"/>
  <c r="I33" i="2"/>
  <c r="K25" i="2"/>
  <c r="J44" i="2"/>
  <c r="J50" i="2"/>
  <c r="L9" i="2"/>
  <c r="L24" i="2"/>
  <c r="K23" i="2"/>
  <c r="L7" i="2"/>
  <c r="J48" i="2"/>
  <c r="J42" i="2"/>
  <c r="I60" i="2"/>
  <c r="I62" i="2" s="1"/>
  <c r="L13" i="2"/>
  <c r="L27" i="2"/>
  <c r="L26" i="2"/>
  <c r="K49" i="2"/>
  <c r="K43" i="2"/>
  <c r="J15" i="2"/>
  <c r="J29" i="2" s="1"/>
  <c r="K14" i="2"/>
  <c r="K28" i="2" s="1"/>
  <c r="K37" i="2" s="1"/>
  <c r="K54" i="2" l="1"/>
  <c r="K60" i="2"/>
  <c r="J33" i="2"/>
  <c r="K32" i="2"/>
  <c r="L31" i="2"/>
  <c r="L14" i="2"/>
  <c r="L15" i="2" s="1"/>
  <c r="L25" i="2"/>
  <c r="K50" i="2"/>
  <c r="K44" i="2"/>
  <c r="L23" i="2"/>
  <c r="K48" i="2"/>
  <c r="K42" i="2"/>
  <c r="I58" i="2"/>
  <c r="I38" i="2"/>
  <c r="I70" i="2"/>
  <c r="I63" i="2"/>
  <c r="I64" i="2" s="1"/>
  <c r="K15" i="2"/>
  <c r="K29" i="2" s="1"/>
  <c r="I73" i="2" l="1"/>
  <c r="I74" i="2" s="1"/>
  <c r="K33" i="2"/>
  <c r="L32" i="2"/>
  <c r="L28" i="2"/>
  <c r="L29" i="2"/>
  <c r="I57" i="2"/>
  <c r="J56" i="2"/>
  <c r="J38" i="2"/>
  <c r="J70" i="2"/>
  <c r="J73" i="2" s="1"/>
  <c r="J74" i="2" s="1"/>
  <c r="J75" i="2" s="1"/>
  <c r="J60" i="2"/>
  <c r="K58" i="2"/>
  <c r="K70" i="2"/>
  <c r="K73" i="2" s="1"/>
  <c r="K74" i="2" s="1"/>
  <c r="K75" i="2" s="1"/>
  <c r="K38" i="2"/>
  <c r="K62" i="2"/>
  <c r="K63" i="2" s="1"/>
  <c r="K64" i="2" s="1"/>
  <c r="I66" i="2"/>
  <c r="I75" i="2" l="1"/>
  <c r="I78" i="2" s="1"/>
  <c r="L33" i="2"/>
  <c r="J62" i="2"/>
  <c r="J63" i="2" s="1"/>
  <c r="J64" i="2" s="1"/>
  <c r="J66" i="2" s="1"/>
  <c r="J57" i="2"/>
  <c r="J58" i="2"/>
  <c r="K57" i="2"/>
  <c r="K56" i="2"/>
  <c r="I67" i="2"/>
  <c r="I68" i="2"/>
  <c r="I79" i="2"/>
  <c r="J78" i="2"/>
  <c r="K66" i="2"/>
  <c r="K78" i="2"/>
  <c r="I77" i="2" l="1"/>
  <c r="K79" i="2"/>
  <c r="K67" i="2"/>
  <c r="J67" i="2"/>
  <c r="J77" i="2"/>
  <c r="J68" i="2"/>
  <c r="K77" i="2"/>
  <c r="K68" i="2"/>
  <c r="J79" i="2"/>
</calcChain>
</file>

<file path=xl/sharedStrings.xml><?xml version="1.0" encoding="utf-8"?>
<sst xmlns="http://schemas.openxmlformats.org/spreadsheetml/2006/main" count="93" uniqueCount="68">
  <si>
    <t xml:space="preserve">за 1-комнатную квартиру </t>
  </si>
  <si>
    <t xml:space="preserve">Процентная ставка по кредиту, % годовых </t>
  </si>
  <si>
    <t xml:space="preserve">Сумма кредита, руб. </t>
  </si>
  <si>
    <t xml:space="preserve">5. Привлечение кредита </t>
  </si>
  <si>
    <t xml:space="preserve">Сумма, выплачиваемая в рассрочку, руб. </t>
  </si>
  <si>
    <t>4. Рассрочка, предоставленная подрядчиком</t>
  </si>
  <si>
    <t xml:space="preserve">2.2.2. Размер  дефицита средств с учетом авансовых платежей, руб. </t>
  </si>
  <si>
    <t xml:space="preserve">за 3-комнатную квартиру </t>
  </si>
  <si>
    <t xml:space="preserve">2.1.2. Размер дефицита средств с учетом авансовых платежей, руб. </t>
  </si>
  <si>
    <t xml:space="preserve">за 2-комнатную квартиру </t>
  </si>
  <si>
    <t xml:space="preserve">1.3. Количество месяцев для полного погашения дефицита с учетом фактического уровня собираемости платежей на КР  </t>
  </si>
  <si>
    <t>1. Перенос срока выполнения работы в пределах планируемого краткосрочного периода</t>
  </si>
  <si>
    <t>1. Размер ежемесячного платежа на  КР, руб.:</t>
  </si>
  <si>
    <t xml:space="preserve">Блок В. Расчетные показатели </t>
  </si>
  <si>
    <t xml:space="preserve">4. Площадь 3-комнатной квартиры, кв. м </t>
  </si>
  <si>
    <t xml:space="preserve">3. Площадь 2-комнатной квартиры, кв. м </t>
  </si>
  <si>
    <t>2. Площадь 1-комнатной квартиры, кв. м</t>
  </si>
  <si>
    <t>1. Площадь всех помещений в МКД, на которую начисляются взносы на КР, кв. м</t>
  </si>
  <si>
    <t xml:space="preserve">Блок А. Исходные данные </t>
  </si>
  <si>
    <t>2025 (прогноз)</t>
  </si>
  <si>
    <t xml:space="preserve">2024 (прогноз) </t>
  </si>
  <si>
    <t xml:space="preserve">2023 (прогноз) </t>
  </si>
  <si>
    <t>2022 (прогноз)</t>
  </si>
  <si>
    <t>6. Расходы на работы по КР, руб.</t>
  </si>
  <si>
    <t>8. Оценка достаточности средств на проведение работы по КР (дефицит(-) / профицит(+) средств), руб.</t>
  </si>
  <si>
    <t>-</t>
  </si>
  <si>
    <t>ФИНАНСОВАЯ МОДЕЛЬ 1. Краткосрочное планирование капремонта МКД</t>
  </si>
  <si>
    <t>5. Установленный решением субъекта РФ минимальный размер взноса на КР, руб./кв. м в месяц</t>
  </si>
  <si>
    <t xml:space="preserve">7. Прогноз индекса потребительских цен, % </t>
  </si>
  <si>
    <t xml:space="preserve">8. Годовой размер начисленных взносов на КР, руб. </t>
  </si>
  <si>
    <t xml:space="preserve">9. Годовой размер уплаченных взносов на КР, руб.  </t>
  </si>
  <si>
    <t xml:space="preserve">10. Годовой размер задолженности по взносам на КР, руб. </t>
  </si>
  <si>
    <t>11. Уровень собираемости взносов на КР, %</t>
  </si>
  <si>
    <t xml:space="preserve">15. Цепные индексы-дефляторы для прогноза стоимости работ по КР в будущие периоды </t>
  </si>
  <si>
    <t xml:space="preserve">5.1. Срок кредита, мес. </t>
  </si>
  <si>
    <r>
      <t xml:space="preserve">13. Стоимость выполненных работ по КР в период до 2021 года включительно, руб. </t>
    </r>
    <r>
      <rPr>
        <i/>
        <u/>
        <sz val="11"/>
        <rFont val="Times New Roman"/>
        <family val="1"/>
        <charset val="204"/>
      </rPr>
      <t xml:space="preserve">(1-ая работа выполнена не ранее 2016 года) </t>
    </r>
  </si>
  <si>
    <t xml:space="preserve">4.1. Период рассрочки, мес. </t>
  </si>
  <si>
    <r>
      <t>5. Размер задолженности собственников помещений по взносам на КР</t>
    </r>
    <r>
      <rPr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накопленным итогом, руб. </t>
    </r>
  </si>
  <si>
    <r>
      <t>9.</t>
    </r>
    <r>
      <rPr>
        <sz val="11"/>
        <color theme="1"/>
        <rFont val="Times New Roman"/>
        <family val="1"/>
        <charset val="204"/>
      </rPr>
      <t xml:space="preserve">Размер дефицита (-) / профицита (+) средств при полном погашении задолженности по взносам на КР, руб.  </t>
    </r>
  </si>
  <si>
    <t xml:space="preserve">3. Годовые поступления на спецсчет с учетом уровня собираемости, доп. поступлений и доп. взноса (при наличии), руб. </t>
  </si>
  <si>
    <t>3.3.  Размер месячного платежа на КР с учетом доп. взноса, руб.:</t>
  </si>
  <si>
    <t xml:space="preserve">4.5. Размер месячного платежа на КР с учетом доп. взноса, руб.: </t>
  </si>
  <si>
    <t xml:space="preserve">5.5. Размер месячного платежа на КР с учетом доп. взноса: </t>
  </si>
  <si>
    <t xml:space="preserve">6. Доп. взнос на КР, установленный ОСС (при наличии), руб./кв. м </t>
  </si>
  <si>
    <t xml:space="preserve">2. Ежемесячные поступления на спец. счет с учетом уровня собираемости взносов, дополнительных поступлений и дополнительного взноса на КР (при наличии), руб. </t>
  </si>
  <si>
    <t xml:space="preserve">4. Общий объем средств, поступивших на спец. счет, накопленным итогом на конец года, руб.  </t>
  </si>
  <si>
    <t>7. Остаток средств на спец. счете на конец года с учетом расходования средств на проведение работ по КР, руб.</t>
  </si>
  <si>
    <t xml:space="preserve">Блок С. Варианты привлечения средств (восполнения дефицита средств) для финансирования КР </t>
  </si>
  <si>
    <t xml:space="preserve">1.1. Стоимость работы в зависимости от года проведения КР, руб. </t>
  </si>
  <si>
    <t xml:space="preserve">1.2. Размер дефицита средств на спец. счете в зависимости от года проведения КР, руб. </t>
  </si>
  <si>
    <t xml:space="preserve">2. Внесение авансового платежа по взносам на КР в счет платежей следующего года  </t>
  </si>
  <si>
    <t>3. Установление  дополнительного взноса на КР  на определенный период  для полного покрытия дефицита</t>
  </si>
  <si>
    <t xml:space="preserve">3.1. Период уплаты дополнительного взноса на КР, мес. </t>
  </si>
  <si>
    <t>4.2. Размер месячного платежа в счет погашения задолженности перед подрядчиком, руб.</t>
  </si>
  <si>
    <t xml:space="preserve">4.3. Достаточность (недостаточность) фактических ежемесячных поступлений на спец. счет для погашения задолженности перед подрядчиком, руб. </t>
  </si>
  <si>
    <t>4.4. Размер дополнительного взноса на КР на период рассрочки, руб./кв. м в месяц</t>
  </si>
  <si>
    <t>5.2. Размер месячного платежа для погашения кредита, руб.</t>
  </si>
  <si>
    <t xml:space="preserve">5.3. Достаточность (недостаточность) фактических месячных поступлений на спец. счет для погашения задолженности по кредиту, руб. </t>
  </si>
  <si>
    <t>5.4. Размер доп. взноса на КР на срок кредита, руб./кв. м в месяц</t>
  </si>
  <si>
    <t>3.2. Размер дополнительного взноса в принятый период его уплаты, руб./кв. м в месяц</t>
  </si>
  <si>
    <t xml:space="preserve">12. Дополнительные годовые поступления на спец. счет (проценты по депозиту, плата за аренду общедомового имущества и др.), руб. </t>
  </si>
  <si>
    <t xml:space="preserve">14. Замена лифтов (5 шт. по 1,9 млн руб.), руб. </t>
  </si>
  <si>
    <t>Краткосрочное планирование капитального ремонта МКД. Пример: г. Пермь</t>
  </si>
  <si>
    <t>Пример подготовлен  совместно с Региональным центром капитального ремонта, г. Пермь</t>
  </si>
  <si>
    <t>2.2.1. Размер месячного платежа на КР в текущем году с учетом авансовых платежей, руб.:</t>
  </si>
  <si>
    <t xml:space="preserve">2.1. Внесение авансом платежей на КР за 3 месяцев следующего года  </t>
  </si>
  <si>
    <t xml:space="preserve">2.2. Внесение авансом платежей на КР за 6 месяцев следующего года  </t>
  </si>
  <si>
    <t>2.1.1. Размер месячного платежа на КР в течение 3 месяцев текущего года с учетом авансовых платежей,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</si>
</sst>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₽&quot;;[Red]\-#,##0.00\ &quot;₽&quot;"/>
    <numFmt numFmtId="164" formatCode="_-* #,##0.00\ _₽_-;\-* #,##0.00\ _₽_-;_-* &quot;-&quot;??\ _₽_-;_-@_-"/>
    <numFmt numFmtId="165" formatCode="0.0%"/>
    <numFmt numFmtId="166" formatCode="_-* #,##0\ _₽_-;\-* #,##0\ _₽_-;_-* &quot;-&quot;??\ _₽_-;_-@_-"/>
    <numFmt numFmtId="167" formatCode="0.0"/>
    <numFmt numFmtId="168" formatCode="#,##0.0"/>
  </numFmts>
  <fonts count="20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sz val="11"/>
      <color theme="8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i/>
      <sz val="11"/>
      <color theme="8" tint="-0.249977111117893"/>
      <name val="Times New Roman"/>
      <family val="1"/>
      <charset val="204"/>
    </font>
    <font>
      <b/>
      <sz val="12"/>
      <color theme="1"/>
      <name val="Times New Roman"/>
      <family val="1"/>
    </font>
    <font>
      <i/>
      <u/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center" vertical="center"/>
    </xf>
    <xf numFmtId="0" fontId="2" fillId="0" borderId="1" xfId="1" applyFont="1" applyBorder="1"/>
    <xf numFmtId="3" fontId="3" fillId="2" borderId="0" xfId="1" applyNumberFormat="1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left" wrapText="1" indent="2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8" fontId="2" fillId="3" borderId="0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left" wrapText="1" indent="1"/>
    </xf>
    <xf numFmtId="1" fontId="2" fillId="2" borderId="0" xfId="1" applyNumberFormat="1" applyFont="1" applyFill="1" applyBorder="1" applyAlignment="1">
      <alignment horizontal="center" vertical="center"/>
    </xf>
    <xf numFmtId="1" fontId="2" fillId="3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165" fontId="2" fillId="3" borderId="0" xfId="2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left" vertical="center" wrapText="1" indent="1"/>
    </xf>
    <xf numFmtId="0" fontId="4" fillId="0" borderId="0" xfId="1" applyFont="1" applyBorder="1"/>
    <xf numFmtId="0" fontId="4" fillId="2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wrapText="1" indent="1"/>
    </xf>
    <xf numFmtId="2" fontId="2" fillId="2" borderId="0" xfId="2" applyNumberFormat="1" applyFont="1" applyFill="1" applyBorder="1" applyAlignment="1">
      <alignment horizontal="center" vertical="center" wrapText="1"/>
    </xf>
    <xf numFmtId="2" fontId="2" fillId="3" borderId="0" xfId="2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 wrapText="1"/>
    </xf>
    <xf numFmtId="165" fontId="6" fillId="3" borderId="0" xfId="2" applyNumberFormat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 wrapText="1"/>
    </xf>
    <xf numFmtId="1" fontId="2" fillId="3" borderId="0" xfId="1" applyNumberFormat="1" applyFont="1" applyFill="1" applyBorder="1" applyAlignment="1">
      <alignment horizontal="center" vertical="center" wrapText="1"/>
    </xf>
    <xf numFmtId="166" fontId="2" fillId="3" borderId="0" xfId="1" applyNumberFormat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left" wrapText="1" indent="1"/>
    </xf>
    <xf numFmtId="166" fontId="2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>
      <alignment horizontal="center" vertical="center" wrapText="1"/>
    </xf>
    <xf numFmtId="167" fontId="2" fillId="3" borderId="0" xfId="1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wrapText="1" indent="1"/>
    </xf>
    <xf numFmtId="166" fontId="2" fillId="5" borderId="1" xfId="1" applyNumberFormat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left" wrapText="1" indent="3"/>
    </xf>
    <xf numFmtId="166" fontId="2" fillId="5" borderId="0" xfId="1" applyNumberFormat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left" wrapText="1" indent="3"/>
    </xf>
    <xf numFmtId="0" fontId="2" fillId="5" borderId="3" xfId="1" applyFont="1" applyFill="1" applyBorder="1" applyAlignment="1">
      <alignment horizontal="left" wrapText="1" indent="2"/>
    </xf>
    <xf numFmtId="0" fontId="5" fillId="5" borderId="4" xfId="1" applyFont="1" applyFill="1" applyBorder="1" applyAlignment="1">
      <alignment horizontal="left" wrapText="1" indent="1"/>
    </xf>
    <xf numFmtId="0" fontId="2" fillId="3" borderId="3" xfId="1" applyFont="1" applyFill="1" applyBorder="1" applyAlignment="1">
      <alignment horizontal="left" wrapText="1" indent="3"/>
    </xf>
    <xf numFmtId="2" fontId="2" fillId="2" borderId="0" xfId="1" applyNumberFormat="1" applyFont="1" applyFill="1" applyBorder="1" applyAlignment="1">
      <alignment horizontal="center" vertical="center" wrapText="1"/>
    </xf>
    <xf numFmtId="166" fontId="2" fillId="5" borderId="0" xfId="3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/>
    </xf>
    <xf numFmtId="166" fontId="9" fillId="3" borderId="1" xfId="3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166" fontId="2" fillId="3" borderId="0" xfId="3" applyNumberFormat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left" wrapText="1" indent="1"/>
    </xf>
    <xf numFmtId="3" fontId="7" fillId="2" borderId="0" xfId="1" applyNumberFormat="1" applyFont="1" applyFill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center" vertical="center"/>
    </xf>
    <xf numFmtId="3" fontId="2" fillId="3" borderId="0" xfId="3" applyNumberFormat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wrapText="1"/>
    </xf>
    <xf numFmtId="2" fontId="8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3" fontId="2" fillId="3" borderId="1" xfId="3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left" wrapText="1" indent="1"/>
    </xf>
    <xf numFmtId="0" fontId="4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3" fontId="4" fillId="3" borderId="0" xfId="1" applyNumberFormat="1" applyFont="1" applyFill="1" applyBorder="1" applyAlignment="1">
      <alignment horizontal="center" vertical="center"/>
    </xf>
    <xf numFmtId="3" fontId="4" fillId="3" borderId="0" xfId="1" applyNumberFormat="1" applyFont="1" applyFill="1" applyBorder="1" applyAlignment="1">
      <alignment horizontal="center" vertical="center" wrapText="1"/>
    </xf>
    <xf numFmtId="14" fontId="2" fillId="3" borderId="3" xfId="1" applyNumberFormat="1" applyFont="1" applyFill="1" applyBorder="1" applyAlignment="1">
      <alignment horizontal="left" wrapText="1" indent="1"/>
    </xf>
    <xf numFmtId="0" fontId="7" fillId="2" borderId="0" xfId="1" applyFont="1" applyFill="1" applyBorder="1" applyAlignment="1">
      <alignment horizontal="center" vertical="center"/>
    </xf>
    <xf numFmtId="3" fontId="7" fillId="3" borderId="6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left" wrapText="1"/>
    </xf>
    <xf numFmtId="0" fontId="12" fillId="6" borderId="7" xfId="1" applyFont="1" applyFill="1" applyBorder="1" applyAlignment="1">
      <alignment horizontal="left" wrapText="1"/>
    </xf>
    <xf numFmtId="3" fontId="7" fillId="8" borderId="1" xfId="1" applyNumberFormat="1" applyFont="1" applyFill="1" applyBorder="1" applyAlignment="1">
      <alignment horizontal="center" vertical="center"/>
    </xf>
    <xf numFmtId="3" fontId="2" fillId="8" borderId="1" xfId="3" applyNumberFormat="1" applyFont="1" applyFill="1" applyBorder="1" applyAlignment="1">
      <alignment horizontal="center" vertical="center" wrapText="1"/>
    </xf>
    <xf numFmtId="0" fontId="9" fillId="8" borderId="8" xfId="1" applyFont="1" applyFill="1" applyBorder="1" applyAlignment="1">
      <alignment horizontal="left" wrapText="1"/>
    </xf>
    <xf numFmtId="0" fontId="8" fillId="7" borderId="0" xfId="1" applyFont="1" applyFill="1" applyBorder="1" applyAlignment="1">
      <alignment horizontal="center" vertical="center" wrapText="1"/>
    </xf>
    <xf numFmtId="3" fontId="7" fillId="8" borderId="0" xfId="1" applyNumberFormat="1" applyFont="1" applyFill="1" applyBorder="1" applyAlignment="1">
      <alignment horizontal="center" vertical="center"/>
    </xf>
    <xf numFmtId="3" fontId="2" fillId="8" borderId="0" xfId="3" applyNumberFormat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left" wrapText="1"/>
    </xf>
    <xf numFmtId="3" fontId="2" fillId="7" borderId="0" xfId="1" applyNumberFormat="1" applyFont="1" applyFill="1" applyBorder="1" applyAlignment="1">
      <alignment horizontal="center" vertical="center"/>
    </xf>
    <xf numFmtId="3" fontId="2" fillId="8" borderId="0" xfId="1" applyNumberFormat="1" applyFont="1" applyFill="1" applyBorder="1" applyAlignment="1">
      <alignment horizontal="center" vertical="center"/>
    </xf>
    <xf numFmtId="0" fontId="2" fillId="8" borderId="9" xfId="1" applyFont="1" applyFill="1" applyBorder="1" applyAlignment="1">
      <alignment horizontal="left" vertical="center" wrapText="1"/>
    </xf>
    <xf numFmtId="0" fontId="11" fillId="8" borderId="9" xfId="1" applyFont="1" applyFill="1" applyBorder="1" applyAlignment="1">
      <alignment horizontal="left" vertical="center" wrapText="1"/>
    </xf>
    <xf numFmtId="3" fontId="3" fillId="7" borderId="0" xfId="1" applyNumberFormat="1" applyFont="1" applyFill="1" applyBorder="1" applyAlignment="1">
      <alignment horizontal="center" vertical="center"/>
    </xf>
    <xf numFmtId="3" fontId="3" fillId="8" borderId="0" xfId="1" applyNumberFormat="1" applyFont="1" applyFill="1" applyBorder="1" applyAlignment="1">
      <alignment horizontal="center" vertical="center"/>
    </xf>
    <xf numFmtId="0" fontId="13" fillId="8" borderId="9" xfId="1" applyFont="1" applyFill="1" applyBorder="1" applyAlignment="1">
      <alignment horizontal="left" wrapText="1" indent="1"/>
    </xf>
    <xf numFmtId="166" fontId="14" fillId="7" borderId="0" xfId="1" applyNumberFormat="1" applyFont="1" applyFill="1" applyBorder="1" applyAlignment="1">
      <alignment horizontal="center" vertical="center"/>
    </xf>
    <xf numFmtId="166" fontId="2" fillId="8" borderId="0" xfId="1" applyNumberFormat="1" applyFont="1" applyFill="1" applyBorder="1" applyAlignment="1">
      <alignment horizontal="center" vertical="center"/>
    </xf>
    <xf numFmtId="0" fontId="2" fillId="8" borderId="0" xfId="1" applyFont="1" applyFill="1" applyBorder="1" applyAlignment="1">
      <alignment horizontal="center" vertical="center"/>
    </xf>
    <xf numFmtId="0" fontId="13" fillId="8" borderId="9" xfId="1" applyFont="1" applyFill="1" applyBorder="1" applyAlignment="1">
      <alignment horizontal="left" wrapText="1"/>
    </xf>
    <xf numFmtId="0" fontId="2" fillId="0" borderId="10" xfId="1" applyFont="1" applyBorder="1"/>
    <xf numFmtId="166" fontId="2" fillId="7" borderId="10" xfId="3" applyNumberFormat="1" applyFont="1" applyFill="1" applyBorder="1" applyAlignment="1">
      <alignment horizontal="center" vertical="center"/>
    </xf>
    <xf numFmtId="166" fontId="2" fillId="7" borderId="0" xfId="3" applyNumberFormat="1" applyFont="1" applyFill="1" applyBorder="1" applyAlignment="1">
      <alignment horizontal="center" vertical="center"/>
    </xf>
    <xf numFmtId="166" fontId="2" fillId="9" borderId="0" xfId="3" applyNumberFormat="1" applyFont="1" applyFill="1" applyBorder="1" applyAlignment="1">
      <alignment horizontal="center" vertical="center"/>
    </xf>
    <xf numFmtId="0" fontId="12" fillId="10" borderId="11" xfId="1" applyFont="1" applyFill="1" applyBorder="1"/>
    <xf numFmtId="2" fontId="15" fillId="11" borderId="0" xfId="1" applyNumberFormat="1" applyFont="1" applyFill="1" applyBorder="1" applyAlignment="1">
      <alignment horizontal="center" vertical="center"/>
    </xf>
    <xf numFmtId="2" fontId="15" fillId="11" borderId="1" xfId="1" applyNumberFormat="1" applyFont="1" applyFill="1" applyBorder="1" applyAlignment="1">
      <alignment horizontal="center" vertical="center"/>
    </xf>
    <xf numFmtId="2" fontId="15" fillId="12" borderId="1" xfId="1" applyNumberFormat="1" applyFont="1" applyFill="1" applyBorder="1" applyAlignment="1">
      <alignment horizontal="center" vertical="center"/>
    </xf>
    <xf numFmtId="2" fontId="15" fillId="13" borderId="1" xfId="1" applyNumberFormat="1" applyFont="1" applyFill="1" applyBorder="1" applyAlignment="1">
      <alignment horizontal="center" vertical="center"/>
    </xf>
    <xf numFmtId="9" fontId="2" fillId="13" borderId="1" xfId="2" applyFont="1" applyFill="1" applyBorder="1" applyAlignment="1">
      <alignment horizontal="center" vertical="center" wrapText="1"/>
    </xf>
    <xf numFmtId="0" fontId="2" fillId="13" borderId="12" xfId="1" applyFont="1" applyFill="1" applyBorder="1" applyAlignment="1">
      <alignment horizontal="left" vertical="center" wrapText="1"/>
    </xf>
    <xf numFmtId="0" fontId="11" fillId="13" borderId="13" xfId="1" applyFont="1" applyFill="1" applyBorder="1" applyAlignment="1">
      <alignment horizontal="left" vertical="center" wrapText="1"/>
    </xf>
    <xf numFmtId="9" fontId="4" fillId="11" borderId="0" xfId="4" applyFont="1" applyFill="1" applyBorder="1" applyAlignment="1">
      <alignment horizontal="center" vertical="center"/>
    </xf>
    <xf numFmtId="9" fontId="2" fillId="12" borderId="0" xfId="4" applyFont="1" applyFill="1" applyBorder="1" applyAlignment="1">
      <alignment horizontal="center" vertical="center"/>
    </xf>
    <xf numFmtId="0" fontId="2" fillId="13" borderId="13" xfId="1" applyFont="1" applyFill="1" applyBorder="1" applyAlignment="1">
      <alignment horizontal="left" vertical="center" wrapText="1"/>
    </xf>
    <xf numFmtId="3" fontId="2" fillId="11" borderId="0" xfId="3" applyNumberFormat="1" applyFont="1" applyFill="1" applyBorder="1" applyAlignment="1">
      <alignment horizontal="center" vertical="center"/>
    </xf>
    <xf numFmtId="3" fontId="2" fillId="12" borderId="0" xfId="3" applyNumberFormat="1" applyFont="1" applyFill="1" applyBorder="1" applyAlignment="1">
      <alignment horizontal="center" vertical="center"/>
    </xf>
    <xf numFmtId="3" fontId="2" fillId="13" borderId="0" xfId="3" applyNumberFormat="1" applyFont="1" applyFill="1" applyBorder="1" applyAlignment="1">
      <alignment horizontal="center" vertical="center"/>
    </xf>
    <xf numFmtId="9" fontId="2" fillId="11" borderId="0" xfId="2" applyFont="1" applyFill="1" applyBorder="1" applyAlignment="1">
      <alignment horizontal="center" vertical="center"/>
    </xf>
    <xf numFmtId="9" fontId="2" fillId="12" borderId="0" xfId="2" applyFont="1" applyFill="1" applyBorder="1" applyAlignment="1">
      <alignment horizontal="center" vertical="center"/>
    </xf>
    <xf numFmtId="9" fontId="2" fillId="13" borderId="0" xfId="2" applyFont="1" applyFill="1" applyBorder="1" applyAlignment="1">
      <alignment horizontal="center" vertical="center"/>
    </xf>
    <xf numFmtId="0" fontId="2" fillId="13" borderId="0" xfId="1" applyFont="1" applyFill="1" applyBorder="1" applyAlignment="1">
      <alignment horizontal="center" vertical="center"/>
    </xf>
    <xf numFmtId="0" fontId="3" fillId="13" borderId="0" xfId="1" applyFont="1" applyFill="1" applyBorder="1" applyAlignment="1">
      <alignment horizontal="center" vertical="center"/>
    </xf>
    <xf numFmtId="0" fontId="17" fillId="13" borderId="0" xfId="1" applyFont="1" applyFill="1" applyBorder="1" applyAlignment="1">
      <alignment horizontal="center" vertical="center"/>
    </xf>
    <xf numFmtId="0" fontId="3" fillId="13" borderId="13" xfId="1" applyFont="1" applyFill="1" applyBorder="1" applyAlignment="1">
      <alignment horizontal="left" vertical="center" wrapText="1"/>
    </xf>
    <xf numFmtId="0" fontId="2" fillId="12" borderId="0" xfId="1" applyFont="1" applyFill="1" applyBorder="1" applyAlignment="1">
      <alignment horizontal="center" vertical="center"/>
    </xf>
    <xf numFmtId="0" fontId="12" fillId="14" borderId="14" xfId="1" applyFont="1" applyFill="1" applyBorder="1"/>
    <xf numFmtId="0" fontId="2" fillId="0" borderId="15" xfId="1" applyFont="1" applyBorder="1" applyAlignment="1">
      <alignment horizontal="center" vertical="center" wrapText="1"/>
    </xf>
    <xf numFmtId="2" fontId="2" fillId="3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center" vertical="center"/>
    </xf>
    <xf numFmtId="3" fontId="4" fillId="13" borderId="0" xfId="3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left" wrapText="1" indent="2"/>
    </xf>
    <xf numFmtId="1" fontId="4" fillId="11" borderId="0" xfId="4" applyNumberFormat="1" applyFont="1" applyFill="1" applyBorder="1" applyAlignment="1">
      <alignment horizontal="center" vertical="center"/>
    </xf>
    <xf numFmtId="3" fontId="4" fillId="11" borderId="0" xfId="4" applyNumberFormat="1" applyFont="1" applyFill="1" applyBorder="1" applyAlignment="1">
      <alignment horizontal="center" vertical="center"/>
    </xf>
    <xf numFmtId="0" fontId="4" fillId="13" borderId="0" xfId="3" applyNumberFormat="1" applyFont="1" applyFill="1" applyBorder="1" applyAlignment="1">
      <alignment horizontal="center" vertical="center"/>
    </xf>
    <xf numFmtId="3" fontId="7" fillId="8" borderId="0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>
      <alignment wrapText="1"/>
    </xf>
    <xf numFmtId="0" fontId="4" fillId="11" borderId="0" xfId="3" applyNumberFormat="1" applyFont="1" applyFill="1" applyBorder="1" applyAlignment="1">
      <alignment horizontal="center" vertical="center"/>
    </xf>
    <xf numFmtId="2" fontId="2" fillId="11" borderId="0" xfId="1" applyNumberFormat="1" applyFont="1" applyFill="1" applyBorder="1" applyAlignment="1">
      <alignment horizontal="center" vertical="center" wrapText="1"/>
    </xf>
    <xf numFmtId="2" fontId="4" fillId="13" borderId="0" xfId="1" applyNumberFormat="1" applyFont="1" applyFill="1" applyBorder="1" applyAlignment="1">
      <alignment horizontal="center" vertical="center" wrapText="1"/>
    </xf>
    <xf numFmtId="2" fontId="6" fillId="12" borderId="0" xfId="1" applyNumberFormat="1" applyFont="1" applyFill="1" applyBorder="1" applyAlignment="1">
      <alignment horizontal="center" vertical="center" wrapText="1"/>
    </xf>
    <xf numFmtId="3" fontId="7" fillId="7" borderId="0" xfId="1" applyNumberFormat="1" applyFont="1" applyFill="1" applyBorder="1" applyAlignment="1" applyProtection="1">
      <alignment horizontal="center" vertical="center"/>
      <protection hidden="1"/>
    </xf>
    <xf numFmtId="3" fontId="7" fillId="7" borderId="1" xfId="1" applyNumberFormat="1" applyFont="1" applyFill="1" applyBorder="1" applyAlignment="1">
      <alignment horizontal="center" vertical="center"/>
    </xf>
    <xf numFmtId="3" fontId="7" fillId="7" borderId="0" xfId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2" fillId="13" borderId="13" xfId="1" applyFont="1" applyFill="1" applyBorder="1" applyAlignment="1">
      <alignment horizontal="left" wrapText="1"/>
    </xf>
    <xf numFmtId="0" fontId="2" fillId="0" borderId="0" xfId="1" applyFont="1" applyAlignment="1">
      <alignment horizontal="left"/>
    </xf>
    <xf numFmtId="168" fontId="4" fillId="13" borderId="0" xfId="1" applyNumberFormat="1" applyFont="1" applyFill="1" applyBorder="1" applyAlignment="1">
      <alignment horizontal="center" vertical="center"/>
    </xf>
    <xf numFmtId="168" fontId="2" fillId="13" borderId="0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</cellXfs>
  <cellStyles count="5">
    <cellStyle name="Обычный" xfId="0" builtinId="0"/>
    <cellStyle name="Обычный 2" xfId="1"/>
    <cellStyle name="Процентный 2" xfId="2"/>
    <cellStyle name="Процентный 3" xfId="4"/>
    <cellStyle name="Финансовый 2" xfId="3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abSelected="1" zoomScale="120" zoomScaleNormal="12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55" sqref="A55"/>
    </sheetView>
  </sheetViews>
  <sheetFormatPr defaultColWidth="11.375" defaultRowHeight="15" x14ac:dyDescent="0.25"/>
  <cols>
    <col min="1" max="1" width="55.375" style="1" customWidth="1"/>
    <col min="2" max="4" width="10.125" style="3" customWidth="1"/>
    <col min="5" max="7" width="11.625" style="3" customWidth="1"/>
    <col min="8" max="8" width="13.625" style="3" customWidth="1"/>
    <col min="9" max="10" width="12.5" style="3" bestFit="1" customWidth="1"/>
    <col min="11" max="11" width="12" style="3" customWidth="1"/>
    <col min="12" max="12" width="11.625" style="3" bestFit="1" customWidth="1"/>
    <col min="13" max="20" width="11.375" style="2"/>
    <col min="21" max="16384" width="11.375" style="1"/>
  </cols>
  <sheetData>
    <row r="1" spans="1:20" x14ac:dyDescent="0.25">
      <c r="A1" s="149" t="s">
        <v>62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20" x14ac:dyDescent="0.25">
      <c r="A2" s="144" t="s">
        <v>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20" x14ac:dyDescent="0.25">
      <c r="A3" s="147" t="s">
        <v>26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20" ht="30.75" thickBot="1" x14ac:dyDescent="0.3">
      <c r="A4" s="133"/>
      <c r="B4" s="124">
        <v>2015</v>
      </c>
      <c r="C4" s="124">
        <v>2016</v>
      </c>
      <c r="D4" s="124">
        <v>2017</v>
      </c>
      <c r="E4" s="124">
        <v>2018</v>
      </c>
      <c r="F4" s="124">
        <v>2019</v>
      </c>
      <c r="G4" s="124">
        <v>2020</v>
      </c>
      <c r="H4" s="124">
        <v>2021</v>
      </c>
      <c r="I4" s="124" t="s">
        <v>22</v>
      </c>
      <c r="J4" s="124" t="s">
        <v>21</v>
      </c>
      <c r="K4" s="124" t="s">
        <v>20</v>
      </c>
      <c r="L4" s="124" t="s">
        <v>19</v>
      </c>
    </row>
    <row r="5" spans="1:20" s="97" customFormat="1" ht="15.75" thickBot="1" x14ac:dyDescent="0.3">
      <c r="A5" s="123" t="s">
        <v>18</v>
      </c>
      <c r="B5" s="118"/>
      <c r="C5" s="118"/>
      <c r="D5" s="118"/>
      <c r="E5" s="118"/>
      <c r="F5" s="118"/>
      <c r="G5" s="118"/>
      <c r="H5" s="118"/>
      <c r="I5" s="122"/>
      <c r="J5" s="118"/>
      <c r="K5" s="118"/>
      <c r="L5" s="118"/>
      <c r="M5" s="2"/>
      <c r="N5" s="2"/>
      <c r="O5" s="2"/>
      <c r="P5" s="2"/>
      <c r="Q5" s="2"/>
      <c r="R5" s="2"/>
      <c r="S5" s="2"/>
      <c r="T5" s="2"/>
    </row>
    <row r="6" spans="1:20" s="2" customFormat="1" ht="30.75" thickTop="1" x14ac:dyDescent="0.25">
      <c r="A6" s="111" t="s">
        <v>17</v>
      </c>
      <c r="B6" s="145">
        <v>6485</v>
      </c>
      <c r="C6" s="146">
        <f t="shared" ref="C6:L6" si="0">B6</f>
        <v>6485</v>
      </c>
      <c r="D6" s="146">
        <f t="shared" si="0"/>
        <v>6485</v>
      </c>
      <c r="E6" s="146">
        <f t="shared" si="0"/>
        <v>6485</v>
      </c>
      <c r="F6" s="146">
        <f t="shared" si="0"/>
        <v>6485</v>
      </c>
      <c r="G6" s="146">
        <f t="shared" si="0"/>
        <v>6485</v>
      </c>
      <c r="H6" s="146">
        <f t="shared" si="0"/>
        <v>6485</v>
      </c>
      <c r="I6" s="146">
        <f t="shared" si="0"/>
        <v>6485</v>
      </c>
      <c r="J6" s="146">
        <f t="shared" si="0"/>
        <v>6485</v>
      </c>
      <c r="K6" s="146">
        <f t="shared" si="0"/>
        <v>6485</v>
      </c>
      <c r="L6" s="146">
        <f t="shared" si="0"/>
        <v>6485</v>
      </c>
    </row>
    <row r="7" spans="1:20" s="2" customFormat="1" x14ac:dyDescent="0.25">
      <c r="A7" s="121" t="s">
        <v>16</v>
      </c>
      <c r="B7" s="120">
        <v>33</v>
      </c>
      <c r="C7" s="119">
        <f t="shared" ref="C7:L7" si="1">B7</f>
        <v>33</v>
      </c>
      <c r="D7" s="119">
        <f t="shared" si="1"/>
        <v>33</v>
      </c>
      <c r="E7" s="119">
        <f t="shared" si="1"/>
        <v>33</v>
      </c>
      <c r="F7" s="119">
        <f t="shared" si="1"/>
        <v>33</v>
      </c>
      <c r="G7" s="119">
        <f t="shared" si="1"/>
        <v>33</v>
      </c>
      <c r="H7" s="119">
        <f t="shared" si="1"/>
        <v>33</v>
      </c>
      <c r="I7" s="119">
        <f t="shared" si="1"/>
        <v>33</v>
      </c>
      <c r="J7" s="119">
        <f t="shared" si="1"/>
        <v>33</v>
      </c>
      <c r="K7" s="119">
        <f t="shared" si="1"/>
        <v>33</v>
      </c>
      <c r="L7" s="119">
        <f t="shared" si="1"/>
        <v>33</v>
      </c>
    </row>
    <row r="8" spans="1:20" s="2" customFormat="1" x14ac:dyDescent="0.25">
      <c r="A8" s="121" t="s">
        <v>15</v>
      </c>
      <c r="B8" s="120">
        <v>42</v>
      </c>
      <c r="C8" s="119">
        <f t="shared" ref="C8:L8" si="2">B8</f>
        <v>42</v>
      </c>
      <c r="D8" s="119">
        <f t="shared" si="2"/>
        <v>42</v>
      </c>
      <c r="E8" s="119">
        <f t="shared" si="2"/>
        <v>42</v>
      </c>
      <c r="F8" s="119">
        <f t="shared" si="2"/>
        <v>42</v>
      </c>
      <c r="G8" s="119">
        <f t="shared" si="2"/>
        <v>42</v>
      </c>
      <c r="H8" s="119">
        <f t="shared" si="2"/>
        <v>42</v>
      </c>
      <c r="I8" s="119">
        <f t="shared" si="2"/>
        <v>42</v>
      </c>
      <c r="J8" s="119">
        <f t="shared" si="2"/>
        <v>42</v>
      </c>
      <c r="K8" s="119">
        <f t="shared" si="2"/>
        <v>42</v>
      </c>
      <c r="L8" s="119">
        <f t="shared" si="2"/>
        <v>42</v>
      </c>
    </row>
    <row r="9" spans="1:20" s="2" customFormat="1" x14ac:dyDescent="0.25">
      <c r="A9" s="121" t="s">
        <v>14</v>
      </c>
      <c r="B9" s="120">
        <v>56</v>
      </c>
      <c r="C9" s="119">
        <f t="shared" ref="C9:L9" si="3">B9</f>
        <v>56</v>
      </c>
      <c r="D9" s="119">
        <f t="shared" si="3"/>
        <v>56</v>
      </c>
      <c r="E9" s="119">
        <f t="shared" si="3"/>
        <v>56</v>
      </c>
      <c r="F9" s="119">
        <f t="shared" si="3"/>
        <v>56</v>
      </c>
      <c r="G9" s="119">
        <f t="shared" si="3"/>
        <v>56</v>
      </c>
      <c r="H9" s="119">
        <f t="shared" si="3"/>
        <v>56</v>
      </c>
      <c r="I9" s="119">
        <f t="shared" si="3"/>
        <v>56</v>
      </c>
      <c r="J9" s="119">
        <f t="shared" si="3"/>
        <v>56</v>
      </c>
      <c r="K9" s="119">
        <f t="shared" si="3"/>
        <v>56</v>
      </c>
      <c r="L9" s="119">
        <f t="shared" si="3"/>
        <v>56</v>
      </c>
    </row>
    <row r="10" spans="1:20" s="2" customFormat="1" ht="30" x14ac:dyDescent="0.25">
      <c r="A10" s="143" t="s">
        <v>27</v>
      </c>
      <c r="B10" s="136">
        <v>7</v>
      </c>
      <c r="C10" s="136">
        <v>7.58</v>
      </c>
      <c r="D10" s="136">
        <v>8.2799999999999994</v>
      </c>
      <c r="E10" s="136">
        <v>8.4600000000000009</v>
      </c>
      <c r="F10" s="136">
        <v>9</v>
      </c>
      <c r="G10" s="136">
        <v>9.36</v>
      </c>
      <c r="H10" s="136">
        <v>9.73</v>
      </c>
      <c r="I10" s="137">
        <v>10.1</v>
      </c>
      <c r="J10" s="135">
        <f>I10*J12</f>
        <v>10.504</v>
      </c>
      <c r="K10" s="135">
        <f>J10*K12</f>
        <v>10.924160000000001</v>
      </c>
      <c r="L10" s="135">
        <f>K10*L12</f>
        <v>11.361126400000002</v>
      </c>
    </row>
    <row r="11" spans="1:20" s="2" customFormat="1" x14ac:dyDescent="0.25">
      <c r="A11" s="143" t="s">
        <v>43</v>
      </c>
      <c r="B11" s="136">
        <v>0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7">
        <v>0</v>
      </c>
      <c r="J11" s="135">
        <v>0</v>
      </c>
      <c r="K11" s="135">
        <v>0</v>
      </c>
      <c r="L11" s="135">
        <v>0</v>
      </c>
    </row>
    <row r="12" spans="1:20" s="2" customFormat="1" x14ac:dyDescent="0.25">
      <c r="A12" s="143" t="s">
        <v>28</v>
      </c>
      <c r="B12" s="117"/>
      <c r="C12" s="118"/>
      <c r="D12" s="118"/>
      <c r="E12" s="118"/>
      <c r="F12" s="118"/>
      <c r="G12" s="118"/>
      <c r="H12" s="117"/>
      <c r="I12" s="116">
        <v>1.04</v>
      </c>
      <c r="J12" s="115">
        <v>1.04</v>
      </c>
      <c r="K12" s="115">
        <v>1.04</v>
      </c>
      <c r="L12" s="115">
        <v>1.04</v>
      </c>
    </row>
    <row r="13" spans="1:20" s="2" customFormat="1" x14ac:dyDescent="0.25">
      <c r="A13" s="108" t="s">
        <v>29</v>
      </c>
      <c r="B13" s="114">
        <f t="shared" ref="B13:G13" si="4">B6*(B10+B11)*12</f>
        <v>544740</v>
      </c>
      <c r="C13" s="114">
        <f t="shared" si="4"/>
        <v>589875.60000000009</v>
      </c>
      <c r="D13" s="114">
        <f t="shared" si="4"/>
        <v>644349.6</v>
      </c>
      <c r="E13" s="114">
        <f t="shared" si="4"/>
        <v>658357.20000000007</v>
      </c>
      <c r="F13" s="114">
        <f t="shared" si="4"/>
        <v>700380</v>
      </c>
      <c r="G13" s="114">
        <f t="shared" si="4"/>
        <v>728395.2</v>
      </c>
      <c r="H13" s="114">
        <f t="shared" ref="H13:I13" si="5">H6*(H10+H11)*12</f>
        <v>757188.60000000009</v>
      </c>
      <c r="I13" s="113">
        <f t="shared" si="5"/>
        <v>785982</v>
      </c>
      <c r="J13" s="112">
        <f>J6*(J10+J11)*12</f>
        <v>817421.28</v>
      </c>
      <c r="K13" s="112">
        <f t="shared" ref="K13:L13" si="6">K6*(K10+K11)*12</f>
        <v>850118.13120000018</v>
      </c>
      <c r="L13" s="112">
        <f t="shared" si="6"/>
        <v>884122.85644800018</v>
      </c>
    </row>
    <row r="14" spans="1:20" s="2" customFormat="1" x14ac:dyDescent="0.25">
      <c r="A14" s="111" t="s">
        <v>30</v>
      </c>
      <c r="B14" s="127">
        <v>505500</v>
      </c>
      <c r="C14" s="127">
        <v>510500</v>
      </c>
      <c r="D14" s="127">
        <v>635000</v>
      </c>
      <c r="E14" s="127">
        <v>645000</v>
      </c>
      <c r="F14" s="127">
        <v>690000</v>
      </c>
      <c r="G14" s="127">
        <v>710500</v>
      </c>
      <c r="H14" s="127">
        <v>753000</v>
      </c>
      <c r="I14" s="112">
        <f>I13*I16</f>
        <v>778122.17999999993</v>
      </c>
      <c r="J14" s="112">
        <f>J13*J16</f>
        <v>809247.06720000005</v>
      </c>
      <c r="K14" s="112">
        <f>K13*K16</f>
        <v>841616.94988800015</v>
      </c>
      <c r="L14" s="112">
        <f>L13*L16</f>
        <v>875281.62788352021</v>
      </c>
    </row>
    <row r="15" spans="1:20" s="2" customFormat="1" x14ac:dyDescent="0.25">
      <c r="A15" s="111" t="s">
        <v>31</v>
      </c>
      <c r="B15" s="114">
        <f t="shared" ref="B15:L15" si="7">B13-B14</f>
        <v>39240</v>
      </c>
      <c r="C15" s="114">
        <f t="shared" si="7"/>
        <v>79375.600000000093</v>
      </c>
      <c r="D15" s="114">
        <f t="shared" si="7"/>
        <v>9349.5999999999767</v>
      </c>
      <c r="E15" s="114">
        <f t="shared" si="7"/>
        <v>13357.20000000007</v>
      </c>
      <c r="F15" s="114">
        <f t="shared" si="7"/>
        <v>10380</v>
      </c>
      <c r="G15" s="114">
        <f t="shared" si="7"/>
        <v>17895.199999999953</v>
      </c>
      <c r="H15" s="114">
        <f t="shared" si="7"/>
        <v>4188.6000000000931</v>
      </c>
      <c r="I15" s="112">
        <f t="shared" si="7"/>
        <v>7859.8200000000652</v>
      </c>
      <c r="J15" s="112">
        <f t="shared" si="7"/>
        <v>8174.2127999999793</v>
      </c>
      <c r="K15" s="112">
        <f t="shared" si="7"/>
        <v>8501.1813120000297</v>
      </c>
      <c r="L15" s="112">
        <f t="shared" si="7"/>
        <v>8841.2285644799704</v>
      </c>
    </row>
    <row r="16" spans="1:20" s="2" customFormat="1" x14ac:dyDescent="0.25">
      <c r="A16" s="111" t="s">
        <v>32</v>
      </c>
      <c r="B16" s="110">
        <f t="shared" ref="B16:H16" si="8">B14/B13</f>
        <v>0.92796563498182616</v>
      </c>
      <c r="C16" s="110">
        <f t="shared" si="8"/>
        <v>0.86543671241868614</v>
      </c>
      <c r="D16" s="110">
        <f t="shared" si="8"/>
        <v>0.98548986450833531</v>
      </c>
      <c r="E16" s="110">
        <f t="shared" si="8"/>
        <v>0.97971131780741505</v>
      </c>
      <c r="F16" s="110">
        <f t="shared" si="8"/>
        <v>0.98517947399982864</v>
      </c>
      <c r="G16" s="110">
        <f t="shared" si="8"/>
        <v>0.97543201822307457</v>
      </c>
      <c r="H16" s="110">
        <f t="shared" si="8"/>
        <v>0.99446822099540311</v>
      </c>
      <c r="I16" s="109">
        <v>0.99</v>
      </c>
      <c r="J16" s="109">
        <f>I16</f>
        <v>0.99</v>
      </c>
      <c r="K16" s="109">
        <f t="shared" ref="K16:L16" si="9">J16</f>
        <v>0.99</v>
      </c>
      <c r="L16" s="109">
        <f t="shared" si="9"/>
        <v>0.99</v>
      </c>
    </row>
    <row r="17" spans="1:20" s="2" customFormat="1" ht="30" x14ac:dyDescent="0.25">
      <c r="A17" s="111" t="s">
        <v>60</v>
      </c>
      <c r="B17" s="127">
        <v>0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30">
        <v>0</v>
      </c>
      <c r="K17" s="130">
        <v>0</v>
      </c>
      <c r="L17" s="130">
        <v>0</v>
      </c>
    </row>
    <row r="18" spans="1:20" s="2" customFormat="1" ht="30" x14ac:dyDescent="0.25">
      <c r="A18" s="111" t="s">
        <v>35</v>
      </c>
      <c r="B18" s="127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1" t="s">
        <v>25</v>
      </c>
      <c r="J18" s="134" t="s">
        <v>25</v>
      </c>
      <c r="K18" s="134" t="s">
        <v>25</v>
      </c>
      <c r="L18" s="134" t="s">
        <v>25</v>
      </c>
    </row>
    <row r="19" spans="1:20" s="2" customFormat="1" x14ac:dyDescent="0.25">
      <c r="A19" s="108" t="s">
        <v>61</v>
      </c>
      <c r="B19" s="131" t="s">
        <v>25</v>
      </c>
      <c r="C19" s="131" t="s">
        <v>25</v>
      </c>
      <c r="D19" s="131" t="s">
        <v>25</v>
      </c>
      <c r="E19" s="131" t="s">
        <v>25</v>
      </c>
      <c r="F19" s="131" t="s">
        <v>25</v>
      </c>
      <c r="G19" s="131" t="s">
        <v>25</v>
      </c>
      <c r="H19" s="131" t="s">
        <v>25</v>
      </c>
      <c r="I19" s="127">
        <v>9861190</v>
      </c>
      <c r="J19" s="129">
        <v>0</v>
      </c>
      <c r="K19" s="129">
        <v>0</v>
      </c>
      <c r="L19" s="129">
        <v>0</v>
      </c>
    </row>
    <row r="20" spans="1:20" s="2" customFormat="1" ht="30.75" thickBot="1" x14ac:dyDescent="0.3">
      <c r="A20" s="107" t="s">
        <v>33</v>
      </c>
      <c r="B20" s="106"/>
      <c r="C20" s="106"/>
      <c r="D20" s="106"/>
      <c r="E20" s="106"/>
      <c r="F20" s="106"/>
      <c r="G20" s="106"/>
      <c r="H20" s="105">
        <v>1.08</v>
      </c>
      <c r="I20" s="104">
        <v>1.1299999999999999</v>
      </c>
      <c r="J20" s="103">
        <v>1.17</v>
      </c>
      <c r="K20" s="103">
        <v>1.22</v>
      </c>
      <c r="L20" s="102">
        <v>1.27</v>
      </c>
    </row>
    <row r="21" spans="1:20" s="97" customFormat="1" ht="15.75" thickBot="1" x14ac:dyDescent="0.3">
      <c r="A21" s="101" t="s">
        <v>13</v>
      </c>
      <c r="B21" s="95"/>
      <c r="C21" s="95"/>
      <c r="D21" s="95"/>
      <c r="E21" s="95"/>
      <c r="F21" s="95"/>
      <c r="G21" s="95"/>
      <c r="H21" s="95"/>
      <c r="I21" s="100"/>
      <c r="J21" s="99"/>
      <c r="K21" s="99"/>
      <c r="L21" s="98"/>
      <c r="M21" s="2"/>
      <c r="N21" s="2"/>
      <c r="O21" s="2"/>
      <c r="P21" s="2"/>
      <c r="Q21" s="2"/>
      <c r="R21" s="2"/>
      <c r="S21" s="2"/>
      <c r="T21" s="2"/>
    </row>
    <row r="22" spans="1:20" s="2" customFormat="1" ht="15.75" thickTop="1" x14ac:dyDescent="0.25">
      <c r="A22" s="96" t="s">
        <v>12</v>
      </c>
      <c r="B22" s="95"/>
      <c r="C22" s="95"/>
      <c r="D22" s="95"/>
      <c r="E22" s="95"/>
      <c r="F22" s="95"/>
      <c r="G22" s="95"/>
      <c r="H22" s="95"/>
      <c r="I22" s="94"/>
      <c r="J22" s="93"/>
      <c r="K22" s="93"/>
      <c r="L22" s="82"/>
    </row>
    <row r="23" spans="1:20" s="2" customFormat="1" x14ac:dyDescent="0.25">
      <c r="A23" s="92" t="s">
        <v>0</v>
      </c>
      <c r="B23" s="91">
        <f>B7*(B10+B11)</f>
        <v>231</v>
      </c>
      <c r="C23" s="91">
        <f t="shared" ref="C23:L23" si="10">C7*(C10+C11)</f>
        <v>250.14000000000001</v>
      </c>
      <c r="D23" s="91">
        <f t="shared" si="10"/>
        <v>273.23999999999995</v>
      </c>
      <c r="E23" s="91">
        <f t="shared" si="10"/>
        <v>279.18</v>
      </c>
      <c r="F23" s="91">
        <f t="shared" si="10"/>
        <v>297</v>
      </c>
      <c r="G23" s="91">
        <f t="shared" si="10"/>
        <v>308.88</v>
      </c>
      <c r="H23" s="91">
        <f t="shared" si="10"/>
        <v>321.09000000000003</v>
      </c>
      <c r="I23" s="91">
        <f t="shared" si="10"/>
        <v>333.3</v>
      </c>
      <c r="J23" s="90">
        <f t="shared" si="10"/>
        <v>346.63200000000001</v>
      </c>
      <c r="K23" s="90">
        <f t="shared" si="10"/>
        <v>360.49728000000005</v>
      </c>
      <c r="L23" s="90">
        <f t="shared" si="10"/>
        <v>374.91717120000004</v>
      </c>
    </row>
    <row r="24" spans="1:20" s="2" customFormat="1" x14ac:dyDescent="0.25">
      <c r="A24" s="92" t="s">
        <v>9</v>
      </c>
      <c r="B24" s="91">
        <f>B8*(B10+B11)</f>
        <v>294</v>
      </c>
      <c r="C24" s="91">
        <f t="shared" ref="C24:I24" si="11">C8*(C10+C11)</f>
        <v>318.36</v>
      </c>
      <c r="D24" s="91">
        <f t="shared" si="11"/>
        <v>347.76</v>
      </c>
      <c r="E24" s="91">
        <f t="shared" si="11"/>
        <v>355.32000000000005</v>
      </c>
      <c r="F24" s="91">
        <f t="shared" si="11"/>
        <v>378</v>
      </c>
      <c r="G24" s="91">
        <f t="shared" si="11"/>
        <v>393.12</v>
      </c>
      <c r="H24" s="91">
        <f t="shared" si="11"/>
        <v>408.66</v>
      </c>
      <c r="I24" s="91">
        <f t="shared" si="11"/>
        <v>424.2</v>
      </c>
      <c r="J24" s="90">
        <f>J8*(J10+J11)</f>
        <v>441.16800000000001</v>
      </c>
      <c r="K24" s="90">
        <f t="shared" ref="K24:L24" si="12">K8*(K10+K11)</f>
        <v>458.81472000000002</v>
      </c>
      <c r="L24" s="90">
        <f t="shared" si="12"/>
        <v>477.16730880000006</v>
      </c>
    </row>
    <row r="25" spans="1:20" s="2" customFormat="1" x14ac:dyDescent="0.25">
      <c r="A25" s="92" t="s">
        <v>7</v>
      </c>
      <c r="B25" s="91">
        <f>B9*(B10+B11)</f>
        <v>392</v>
      </c>
      <c r="C25" s="91">
        <f t="shared" ref="C25:I25" si="13">C9*(C10+C11)</f>
        <v>424.48</v>
      </c>
      <c r="D25" s="91">
        <f t="shared" si="13"/>
        <v>463.67999999999995</v>
      </c>
      <c r="E25" s="91">
        <f t="shared" si="13"/>
        <v>473.76000000000005</v>
      </c>
      <c r="F25" s="91">
        <f t="shared" si="13"/>
        <v>504</v>
      </c>
      <c r="G25" s="91">
        <f t="shared" si="13"/>
        <v>524.16</v>
      </c>
      <c r="H25" s="91">
        <f t="shared" si="13"/>
        <v>544.88</v>
      </c>
      <c r="I25" s="91">
        <f t="shared" si="13"/>
        <v>565.6</v>
      </c>
      <c r="J25" s="90">
        <f>J9*(J10+J11)</f>
        <v>588.22399999999993</v>
      </c>
      <c r="K25" s="90">
        <f t="shared" ref="K25:L25" si="14">K9*(K10+K11)</f>
        <v>611.75296000000003</v>
      </c>
      <c r="L25" s="90">
        <f t="shared" si="14"/>
        <v>636.22307840000008</v>
      </c>
    </row>
    <row r="26" spans="1:20" s="2" customFormat="1" ht="45" x14ac:dyDescent="0.25">
      <c r="A26" s="89" t="s">
        <v>44</v>
      </c>
      <c r="B26" s="87">
        <f>(B6*(B10+B11)*B16)+B17</f>
        <v>42125</v>
      </c>
      <c r="C26" s="87">
        <f t="shared" ref="C26:G26" si="15">(C6*(C10+C11)*C16)+C17</f>
        <v>42541.666666666664</v>
      </c>
      <c r="D26" s="87">
        <f t="shared" si="15"/>
        <v>52916.666666666664</v>
      </c>
      <c r="E26" s="87">
        <f t="shared" si="15"/>
        <v>53750</v>
      </c>
      <c r="F26" s="87">
        <f t="shared" si="15"/>
        <v>57500</v>
      </c>
      <c r="G26" s="87">
        <f t="shared" si="15"/>
        <v>59208.333333333336</v>
      </c>
      <c r="H26" s="87">
        <f>(H6*(H10+H11)*H16)+H17</f>
        <v>62749.999999999993</v>
      </c>
      <c r="I26" s="87">
        <f>(I6*(I10+I11)*I16)+I17</f>
        <v>64843.514999999999</v>
      </c>
      <c r="J26" s="86">
        <f t="shared" ref="J26:L26" si="16">(J6*(J10+J11)*J16)+J17</f>
        <v>67437.255600000004</v>
      </c>
      <c r="K26" s="86">
        <f t="shared" si="16"/>
        <v>70134.745824000012</v>
      </c>
      <c r="L26" s="86">
        <f t="shared" si="16"/>
        <v>72940.135656960018</v>
      </c>
    </row>
    <row r="27" spans="1:20" s="2" customFormat="1" ht="30" x14ac:dyDescent="0.25">
      <c r="A27" s="89" t="s">
        <v>39</v>
      </c>
      <c r="B27" s="87">
        <f>(B6*(B10+B11)*B16*12)+B17</f>
        <v>505500</v>
      </c>
      <c r="C27" s="87">
        <f t="shared" ref="C27:H27" si="17">(C6*(C10+C11)*C16*12)+C17</f>
        <v>510500</v>
      </c>
      <c r="D27" s="87">
        <f t="shared" si="17"/>
        <v>635000</v>
      </c>
      <c r="E27" s="87">
        <f t="shared" si="17"/>
        <v>645000</v>
      </c>
      <c r="F27" s="87">
        <f t="shared" si="17"/>
        <v>690000</v>
      </c>
      <c r="G27" s="87">
        <f t="shared" si="17"/>
        <v>710500</v>
      </c>
      <c r="H27" s="87">
        <f t="shared" si="17"/>
        <v>752999.99999999988</v>
      </c>
      <c r="I27" s="87">
        <f>(I6*(I10+I11)*I16*12)+I17</f>
        <v>778122.17999999993</v>
      </c>
      <c r="J27" s="86">
        <f t="shared" ref="J27:L27" si="18">(J6*(J10+J11)*J16*12)+J17</f>
        <v>809247.06720000005</v>
      </c>
      <c r="K27" s="86">
        <f t="shared" si="18"/>
        <v>841616.94988800015</v>
      </c>
      <c r="L27" s="86">
        <f t="shared" si="18"/>
        <v>875281.62788352021</v>
      </c>
    </row>
    <row r="28" spans="1:20" s="2" customFormat="1" ht="30" x14ac:dyDescent="0.25">
      <c r="A28" s="89" t="s">
        <v>45</v>
      </c>
      <c r="B28" s="87">
        <f>B14+B17</f>
        <v>505500</v>
      </c>
      <c r="C28" s="87">
        <f>(B28+C14)+C17</f>
        <v>1016000</v>
      </c>
      <c r="D28" s="87">
        <f>(C28+D14)+D17</f>
        <v>1651000</v>
      </c>
      <c r="E28" s="87">
        <f t="shared" ref="E28:L28" si="19">(D28+E14)+E17</f>
        <v>2296000</v>
      </c>
      <c r="F28" s="87">
        <f t="shared" si="19"/>
        <v>2986000</v>
      </c>
      <c r="G28" s="87">
        <f t="shared" si="19"/>
        <v>3696500</v>
      </c>
      <c r="H28" s="87">
        <f t="shared" si="19"/>
        <v>4449500</v>
      </c>
      <c r="I28" s="87">
        <f t="shared" si="19"/>
        <v>5227622.18</v>
      </c>
      <c r="J28" s="86">
        <f t="shared" si="19"/>
        <v>6036869.2472000001</v>
      </c>
      <c r="K28" s="86">
        <f t="shared" si="19"/>
        <v>6878486.1970880004</v>
      </c>
      <c r="L28" s="86">
        <f t="shared" si="19"/>
        <v>7753767.8249715203</v>
      </c>
    </row>
    <row r="29" spans="1:20" s="2" customFormat="1" ht="30" x14ac:dyDescent="0.25">
      <c r="A29" s="89" t="s">
        <v>37</v>
      </c>
      <c r="B29" s="87">
        <f>B15</f>
        <v>39240</v>
      </c>
      <c r="C29" s="87">
        <f>B29+C15</f>
        <v>118615.60000000009</v>
      </c>
      <c r="D29" s="87">
        <f t="shared" ref="D29:K29" si="20">C29+D15</f>
        <v>127965.20000000007</v>
      </c>
      <c r="E29" s="87">
        <f t="shared" si="20"/>
        <v>141322.40000000014</v>
      </c>
      <c r="F29" s="87">
        <f t="shared" si="20"/>
        <v>151702.40000000014</v>
      </c>
      <c r="G29" s="87">
        <f t="shared" si="20"/>
        <v>169597.60000000009</v>
      </c>
      <c r="H29" s="87">
        <f t="shared" si="20"/>
        <v>173786.20000000019</v>
      </c>
      <c r="I29" s="87">
        <f t="shared" si="20"/>
        <v>181646.02000000025</v>
      </c>
      <c r="J29" s="86">
        <f t="shared" si="20"/>
        <v>189820.23280000023</v>
      </c>
      <c r="K29" s="86">
        <f t="shared" si="20"/>
        <v>198321.41411200026</v>
      </c>
      <c r="L29" s="86">
        <f t="shared" ref="L29" si="21">K29+L15</f>
        <v>207162.64267648023</v>
      </c>
    </row>
    <row r="30" spans="1:20" s="2" customFormat="1" x14ac:dyDescent="0.25">
      <c r="A30" s="89" t="s">
        <v>23</v>
      </c>
      <c r="B30" s="83">
        <f t="shared" ref="B30:H30" si="22">B18</f>
        <v>0</v>
      </c>
      <c r="C30" s="83">
        <f t="shared" si="22"/>
        <v>0</v>
      </c>
      <c r="D30" s="83">
        <f t="shared" si="22"/>
        <v>0</v>
      </c>
      <c r="E30" s="83">
        <v>0</v>
      </c>
      <c r="F30" s="83">
        <f t="shared" si="22"/>
        <v>0</v>
      </c>
      <c r="G30" s="83">
        <f t="shared" si="22"/>
        <v>0</v>
      </c>
      <c r="H30" s="83">
        <f t="shared" si="22"/>
        <v>0</v>
      </c>
      <c r="I30" s="83">
        <f>I19</f>
        <v>9861190</v>
      </c>
      <c r="J30" s="140">
        <v>0</v>
      </c>
      <c r="K30" s="140">
        <f t="shared" ref="K30:L30" si="23">K19</f>
        <v>0</v>
      </c>
      <c r="L30" s="140">
        <f t="shared" si="23"/>
        <v>0</v>
      </c>
    </row>
    <row r="31" spans="1:20" s="2" customFormat="1" ht="30" x14ac:dyDescent="0.25">
      <c r="A31" s="88" t="s">
        <v>46</v>
      </c>
      <c r="B31" s="87">
        <f>B28</f>
        <v>505500</v>
      </c>
      <c r="C31" s="87">
        <f>B31+C27-C30</f>
        <v>1016000</v>
      </c>
      <c r="D31" s="87">
        <f>C31+D27-D30</f>
        <v>1651000</v>
      </c>
      <c r="E31" s="87">
        <f>E27+D31-E30</f>
        <v>2296000</v>
      </c>
      <c r="F31" s="87">
        <f>F27-F30+E31</f>
        <v>2986000</v>
      </c>
      <c r="G31" s="87">
        <f>G27+F31-G30</f>
        <v>3696500</v>
      </c>
      <c r="H31" s="87">
        <f>H27+G31-H30</f>
        <v>4449500</v>
      </c>
      <c r="I31" s="83">
        <f>I27+H31-I30</f>
        <v>-4633567.82</v>
      </c>
      <c r="J31" s="86">
        <f>I31+J27-J30</f>
        <v>-3824320.7528000004</v>
      </c>
      <c r="K31" s="86">
        <f>J31+K27-K30</f>
        <v>-2982703.8029120001</v>
      </c>
      <c r="L31" s="86">
        <f t="shared" ref="L31" si="24">K31+L27-L30</f>
        <v>-2107422.1750284797</v>
      </c>
    </row>
    <row r="32" spans="1:20" s="2" customFormat="1" ht="30" x14ac:dyDescent="0.25">
      <c r="A32" s="85" t="s">
        <v>24</v>
      </c>
      <c r="B32" s="84"/>
      <c r="C32" s="84"/>
      <c r="D32" s="84"/>
      <c r="E32" s="84"/>
      <c r="F32" s="84"/>
      <c r="G32" s="84"/>
      <c r="H32" s="84"/>
      <c r="I32" s="132">
        <f>IF(I19&gt;I28,I28-I19,0)</f>
        <v>-4633567.82</v>
      </c>
      <c r="J32" s="138">
        <f t="shared" ref="J32:L32" si="25">IF(J19&gt;J31,J31-J19,0)</f>
        <v>-3824320.7528000004</v>
      </c>
      <c r="K32" s="138">
        <f t="shared" si="25"/>
        <v>-2982703.8029120001</v>
      </c>
      <c r="L32" s="138">
        <f t="shared" si="25"/>
        <v>-2107422.1750284797</v>
      </c>
    </row>
    <row r="33" spans="1:20" s="2" customFormat="1" ht="30.75" thickBot="1" x14ac:dyDescent="0.3">
      <c r="A33" s="81" t="s">
        <v>38</v>
      </c>
      <c r="B33" s="80"/>
      <c r="C33" s="80"/>
      <c r="D33" s="80"/>
      <c r="E33" s="80"/>
      <c r="F33" s="80"/>
      <c r="G33" s="80"/>
      <c r="H33" s="80"/>
      <c r="I33" s="79">
        <f>I32+I29</f>
        <v>-4451921.8</v>
      </c>
      <c r="J33" s="139">
        <f>J32+J29</f>
        <v>-3634500.52</v>
      </c>
      <c r="K33" s="139">
        <f t="shared" ref="K33:L33" si="26">K32+K29</f>
        <v>-2784382.3887999998</v>
      </c>
      <c r="L33" s="139">
        <f t="shared" si="26"/>
        <v>-1900259.5323519995</v>
      </c>
    </row>
    <row r="34" spans="1:20" s="69" customFormat="1" ht="30" x14ac:dyDescent="0.25">
      <c r="A34" s="78" t="s">
        <v>47</v>
      </c>
      <c r="B34" s="72"/>
      <c r="C34" s="72"/>
      <c r="D34" s="72"/>
      <c r="E34" s="72"/>
      <c r="F34" s="72"/>
      <c r="G34" s="72"/>
      <c r="H34" s="71"/>
      <c r="I34" s="71"/>
      <c r="J34" s="76"/>
      <c r="K34" s="76"/>
      <c r="L34" s="70"/>
    </row>
    <row r="35" spans="1:20" s="69" customFormat="1" ht="30" x14ac:dyDescent="0.25">
      <c r="A35" s="77" t="s">
        <v>11</v>
      </c>
      <c r="B35" s="72"/>
      <c r="C35" s="72"/>
      <c r="D35" s="72"/>
      <c r="E35" s="72"/>
      <c r="F35" s="72"/>
      <c r="G35" s="72"/>
      <c r="H35" s="71"/>
      <c r="I35" s="71"/>
      <c r="J35" s="76"/>
      <c r="K35" s="76"/>
      <c r="L35" s="70"/>
    </row>
    <row r="36" spans="1:20" s="69" customFormat="1" ht="17.100000000000001" customHeight="1" x14ac:dyDescent="0.25">
      <c r="A36" s="73" t="s">
        <v>48</v>
      </c>
      <c r="B36" s="72"/>
      <c r="C36" s="72"/>
      <c r="D36" s="72"/>
      <c r="E36" s="72"/>
      <c r="F36" s="72"/>
      <c r="G36" s="72"/>
      <c r="H36" s="71"/>
      <c r="I36" s="75">
        <f>I19</f>
        <v>9861190</v>
      </c>
      <c r="J36" s="60">
        <f>$I$19*J20</f>
        <v>11537592.299999999</v>
      </c>
      <c r="K36" s="60">
        <f>$I$19*K20</f>
        <v>12030651.799999999</v>
      </c>
      <c r="L36" s="74"/>
    </row>
    <row r="37" spans="1:20" s="69" customFormat="1" ht="30" x14ac:dyDescent="0.25">
      <c r="A37" s="73" t="s">
        <v>49</v>
      </c>
      <c r="B37" s="72"/>
      <c r="C37" s="72"/>
      <c r="D37" s="72"/>
      <c r="E37" s="72"/>
      <c r="F37" s="72"/>
      <c r="G37" s="72"/>
      <c r="H37" s="71"/>
      <c r="I37" s="61">
        <f>IF(I36&gt;I28,I28-I36,0)</f>
        <v>-4633567.82</v>
      </c>
      <c r="J37" s="60">
        <f>IF(J36&gt;J28,J28-J36,0)</f>
        <v>-5500723.0527999988</v>
      </c>
      <c r="K37" s="60">
        <f>IF(K36&gt;K28,K28-K36,0)</f>
        <v>-5152165.6029119985</v>
      </c>
      <c r="L37" s="70"/>
    </row>
    <row r="38" spans="1:20" s="4" customFormat="1" ht="34.5" customHeight="1" thickBot="1" x14ac:dyDescent="0.3">
      <c r="A38" s="68" t="s">
        <v>10</v>
      </c>
      <c r="B38" s="67"/>
      <c r="C38" s="67"/>
      <c r="D38" s="67"/>
      <c r="E38" s="67"/>
      <c r="F38" s="67"/>
      <c r="G38" s="67"/>
      <c r="H38" s="67"/>
      <c r="I38" s="66">
        <f>-IF(I32&gt;0,0,I32/I26)</f>
        <v>71.457690410521394</v>
      </c>
      <c r="J38" s="65">
        <f>-IF(J37&gt;0,0,J37/J26)</f>
        <v>81.568014650940185</v>
      </c>
      <c r="K38" s="65">
        <f>-IF(K37&gt;0,0,K37/K26)</f>
        <v>73.460957794601924</v>
      </c>
      <c r="L38" s="64"/>
      <c r="M38" s="2"/>
      <c r="N38" s="2"/>
      <c r="O38" s="2"/>
      <c r="P38" s="2"/>
      <c r="Q38" s="2"/>
      <c r="R38" s="2"/>
      <c r="S38" s="2"/>
      <c r="T38" s="2"/>
    </row>
    <row r="39" spans="1:20" s="2" customFormat="1" ht="30" x14ac:dyDescent="0.25">
      <c r="A39" s="63" t="s">
        <v>50</v>
      </c>
      <c r="B39" s="62"/>
      <c r="C39" s="62"/>
      <c r="D39" s="62"/>
      <c r="E39" s="62"/>
      <c r="F39" s="62"/>
      <c r="G39" s="62"/>
      <c r="H39" s="62"/>
      <c r="I39" s="38"/>
      <c r="J39" s="37"/>
      <c r="K39" s="37"/>
      <c r="L39" s="57"/>
    </row>
    <row r="40" spans="1:20" s="2" customFormat="1" ht="27" customHeight="1" x14ac:dyDescent="0.25">
      <c r="A40" s="59" t="s">
        <v>65</v>
      </c>
      <c r="B40" s="58"/>
      <c r="C40" s="58"/>
      <c r="D40" s="58"/>
      <c r="E40" s="58"/>
      <c r="F40" s="58"/>
      <c r="G40" s="58"/>
      <c r="H40" s="58"/>
      <c r="I40" s="15"/>
      <c r="J40" s="14"/>
      <c r="K40" s="14"/>
      <c r="L40" s="57"/>
    </row>
    <row r="41" spans="1:20" s="2" customFormat="1" ht="30" customHeight="1" x14ac:dyDescent="0.25">
      <c r="A41" s="48" t="s">
        <v>67</v>
      </c>
      <c r="B41" s="58"/>
      <c r="C41" s="58"/>
      <c r="D41" s="58"/>
      <c r="E41" s="58"/>
      <c r="F41" s="58"/>
      <c r="G41" s="58"/>
      <c r="H41" s="58"/>
      <c r="I41" s="15"/>
      <c r="J41" s="14"/>
      <c r="K41" s="14"/>
      <c r="L41" s="57"/>
    </row>
    <row r="42" spans="1:20" s="2" customFormat="1" x14ac:dyDescent="0.25">
      <c r="A42" s="50" t="s">
        <v>0</v>
      </c>
      <c r="B42" s="58"/>
      <c r="C42" s="58"/>
      <c r="D42" s="58"/>
      <c r="E42" s="58"/>
      <c r="F42" s="58"/>
      <c r="G42" s="58"/>
      <c r="H42" s="58"/>
      <c r="I42" s="40">
        <f>(I10+J10)*J7</f>
        <v>679.93200000000002</v>
      </c>
      <c r="J42" s="39">
        <f>(J10+K10)*K7</f>
        <v>707.12927999999999</v>
      </c>
      <c r="K42" s="39">
        <f>(K10+L10)*L7</f>
        <v>735.41445120000014</v>
      </c>
      <c r="L42" s="57"/>
    </row>
    <row r="43" spans="1:20" s="2" customFormat="1" x14ac:dyDescent="0.25">
      <c r="A43" s="47" t="s">
        <v>9</v>
      </c>
      <c r="B43" s="58"/>
      <c r="C43" s="58"/>
      <c r="D43" s="58"/>
      <c r="E43" s="58"/>
      <c r="F43" s="58"/>
      <c r="G43" s="58"/>
      <c r="H43" s="58"/>
      <c r="I43" s="40">
        <f>(I10+J10)*J8</f>
        <v>865.36799999999994</v>
      </c>
      <c r="J43" s="39">
        <f>(J10+K10)*K8</f>
        <v>899.98271999999997</v>
      </c>
      <c r="K43" s="39">
        <f>(K10+L10)*L8</f>
        <v>935.98202880000019</v>
      </c>
      <c r="L43" s="57"/>
    </row>
    <row r="44" spans="1:20" s="2" customFormat="1" x14ac:dyDescent="0.25">
      <c r="A44" s="47" t="s">
        <v>7</v>
      </c>
      <c r="B44" s="58"/>
      <c r="C44" s="58"/>
      <c r="D44" s="58"/>
      <c r="E44" s="58"/>
      <c r="F44" s="58"/>
      <c r="G44" s="58"/>
      <c r="H44" s="58"/>
      <c r="I44" s="40">
        <f>(I10+J10)*J9</f>
        <v>1153.8240000000001</v>
      </c>
      <c r="J44" s="39">
        <f>(J10+K10)*K9</f>
        <v>1199.97696</v>
      </c>
      <c r="K44" s="39">
        <f>(K10+L10)*L9</f>
        <v>1247.9760384000001</v>
      </c>
      <c r="L44" s="57"/>
    </row>
    <row r="45" spans="1:20" s="2" customFormat="1" ht="30" x14ac:dyDescent="0.25">
      <c r="A45" s="48" t="s">
        <v>8</v>
      </c>
      <c r="B45" s="58"/>
      <c r="C45" s="58"/>
      <c r="D45" s="58"/>
      <c r="E45" s="58"/>
      <c r="F45" s="58"/>
      <c r="G45" s="58"/>
      <c r="H45" s="58"/>
      <c r="I45" s="61">
        <f>I32+(J6*J10*3)</f>
        <v>-4429212.5</v>
      </c>
      <c r="J45" s="60">
        <f>J37+(K10*K6*3)</f>
        <v>-5288193.5199999986</v>
      </c>
      <c r="K45" s="60">
        <f>K37+(L6*L10*3)</f>
        <v>-4931134.8887999989</v>
      </c>
      <c r="L45" s="57"/>
    </row>
    <row r="46" spans="1:20" s="2" customFormat="1" ht="30" customHeight="1" x14ac:dyDescent="0.25">
      <c r="A46" s="59" t="s">
        <v>66</v>
      </c>
      <c r="B46" s="58"/>
      <c r="C46" s="58"/>
      <c r="D46" s="58"/>
      <c r="E46" s="58"/>
      <c r="F46" s="58"/>
      <c r="G46" s="58"/>
      <c r="H46" s="58"/>
      <c r="I46" s="15"/>
      <c r="J46" s="14"/>
      <c r="K46" s="14"/>
      <c r="L46" s="57"/>
    </row>
    <row r="47" spans="1:20" s="2" customFormat="1" ht="26.25" customHeight="1" x14ac:dyDescent="0.25">
      <c r="A47" s="48" t="s">
        <v>64</v>
      </c>
      <c r="B47" s="58"/>
      <c r="C47" s="58"/>
      <c r="D47" s="58"/>
      <c r="E47" s="58"/>
      <c r="F47" s="58"/>
      <c r="G47" s="58"/>
      <c r="H47" s="58"/>
      <c r="I47" s="15"/>
      <c r="J47" s="14"/>
      <c r="K47" s="14"/>
      <c r="L47" s="57"/>
    </row>
    <row r="48" spans="1:20" s="2" customFormat="1" x14ac:dyDescent="0.25">
      <c r="A48" s="50" t="s">
        <v>0</v>
      </c>
      <c r="B48" s="58"/>
      <c r="C48" s="58"/>
      <c r="D48" s="58"/>
      <c r="E48" s="58"/>
      <c r="F48" s="58"/>
      <c r="G48" s="58"/>
      <c r="H48" s="58"/>
      <c r="I48" s="40">
        <f>(I10+J10)*J7</f>
        <v>679.93200000000002</v>
      </c>
      <c r="J48" s="39">
        <f>(J10+K10)*K7</f>
        <v>707.12927999999999</v>
      </c>
      <c r="K48" s="39">
        <f>(K10+L10)*L7</f>
        <v>735.41445120000014</v>
      </c>
      <c r="L48" s="57"/>
    </row>
    <row r="49" spans="1:20" s="2" customFormat="1" x14ac:dyDescent="0.25">
      <c r="A49" s="47" t="s">
        <v>9</v>
      </c>
      <c r="B49" s="58"/>
      <c r="C49" s="58"/>
      <c r="D49" s="58"/>
      <c r="E49" s="58"/>
      <c r="F49" s="58"/>
      <c r="G49" s="58"/>
      <c r="H49" s="58"/>
      <c r="I49" s="40">
        <f>(I10+J10)*J8</f>
        <v>865.36799999999994</v>
      </c>
      <c r="J49" s="39">
        <f>(J10+K10)*K8</f>
        <v>899.98271999999997</v>
      </c>
      <c r="K49" s="39">
        <f>(K10+L10)*L8</f>
        <v>935.98202880000019</v>
      </c>
      <c r="L49" s="57"/>
    </row>
    <row r="50" spans="1:20" s="2" customFormat="1" x14ac:dyDescent="0.25">
      <c r="A50" s="47" t="s">
        <v>7</v>
      </c>
      <c r="B50" s="58"/>
      <c r="C50" s="58"/>
      <c r="D50" s="58"/>
      <c r="E50" s="58"/>
      <c r="F50" s="58"/>
      <c r="G50" s="58"/>
      <c r="H50" s="58"/>
      <c r="I50" s="40">
        <f>(I10+J10)*J9</f>
        <v>1153.8240000000001</v>
      </c>
      <c r="J50" s="39">
        <f>(J10+K10)*K9</f>
        <v>1199.97696</v>
      </c>
      <c r="K50" s="39">
        <f>(K10+L10)*L9</f>
        <v>1247.9760384000001</v>
      </c>
      <c r="L50" s="57"/>
    </row>
    <row r="51" spans="1:20" s="4" customFormat="1" ht="30.75" thickBot="1" x14ac:dyDescent="0.3">
      <c r="A51" s="128" t="s">
        <v>6</v>
      </c>
      <c r="B51" s="56"/>
      <c r="C51" s="56"/>
      <c r="D51" s="56"/>
      <c r="E51" s="56"/>
      <c r="F51" s="56"/>
      <c r="G51" s="56"/>
      <c r="H51" s="56"/>
      <c r="I51" s="55">
        <f>I32+(J6*J10*6)</f>
        <v>-4224857.1800000006</v>
      </c>
      <c r="J51" s="54">
        <f>J37+(K6*K10*6)</f>
        <v>-5075663.9871999985</v>
      </c>
      <c r="K51" s="54">
        <f>K37+(L6*L10*6)</f>
        <v>-4710104.1746879984</v>
      </c>
      <c r="L51" s="53"/>
      <c r="M51" s="2"/>
      <c r="N51" s="2"/>
      <c r="O51" s="2"/>
      <c r="P51" s="2"/>
      <c r="Q51" s="2"/>
      <c r="R51" s="2"/>
      <c r="S51" s="2"/>
      <c r="T51" s="2"/>
    </row>
    <row r="52" spans="1:20" s="2" customFormat="1" ht="30" x14ac:dyDescent="0.25">
      <c r="A52" s="32" t="s">
        <v>51</v>
      </c>
      <c r="B52" s="52"/>
      <c r="C52" s="52"/>
      <c r="D52" s="52"/>
      <c r="E52" s="52"/>
      <c r="F52" s="52"/>
      <c r="G52" s="52"/>
      <c r="H52" s="52"/>
      <c r="I52" s="11"/>
      <c r="J52" s="16"/>
      <c r="K52" s="16"/>
      <c r="L52" s="16"/>
    </row>
    <row r="53" spans="1:20" s="2" customFormat="1" x14ac:dyDescent="0.25">
      <c r="A53" s="49" t="s">
        <v>52</v>
      </c>
      <c r="B53" s="52"/>
      <c r="C53" s="52"/>
      <c r="D53" s="52"/>
      <c r="E53" s="52"/>
      <c r="F53" s="52"/>
      <c r="G53" s="52"/>
      <c r="H53" s="52"/>
      <c r="I53" s="141">
        <v>36</v>
      </c>
      <c r="J53" s="142">
        <f>I53</f>
        <v>36</v>
      </c>
      <c r="K53" s="142">
        <f>J53</f>
        <v>36</v>
      </c>
      <c r="L53" s="16"/>
    </row>
    <row r="54" spans="1:20" s="2" customFormat="1" ht="27" x14ac:dyDescent="0.25">
      <c r="A54" s="49" t="s">
        <v>59</v>
      </c>
      <c r="B54" s="46"/>
      <c r="C54" s="46"/>
      <c r="D54" s="46"/>
      <c r="E54" s="46"/>
      <c r="F54" s="46"/>
      <c r="G54" s="46"/>
      <c r="H54" s="46"/>
      <c r="I54" s="42">
        <f>-IF(I32&lt;0,I32/I6/I53,0)</f>
        <v>19.847373511522321</v>
      </c>
      <c r="J54" s="41">
        <f>-IF(J37&lt;0,J37/J6/J53,0)</f>
        <v>23.561736712070584</v>
      </c>
      <c r="K54" s="41">
        <f>-IF(K37&lt;0,K37/K6/K53,0)</f>
        <v>22.068729559290666</v>
      </c>
      <c r="L54" s="36"/>
    </row>
    <row r="55" spans="1:20" s="2" customFormat="1" ht="21.6" customHeight="1" x14ac:dyDescent="0.25">
      <c r="A55" s="48" t="s">
        <v>40</v>
      </c>
      <c r="B55" s="46"/>
      <c r="C55" s="46"/>
      <c r="D55" s="46"/>
      <c r="E55" s="46"/>
      <c r="F55" s="46"/>
      <c r="G55" s="46"/>
      <c r="H55" s="46"/>
      <c r="I55" s="42"/>
      <c r="J55" s="41"/>
      <c r="K55" s="51"/>
      <c r="L55" s="36"/>
    </row>
    <row r="56" spans="1:20" s="2" customFormat="1" x14ac:dyDescent="0.25">
      <c r="A56" s="50" t="s">
        <v>0</v>
      </c>
      <c r="B56" s="46"/>
      <c r="C56" s="46"/>
      <c r="D56" s="46"/>
      <c r="E56" s="46"/>
      <c r="F56" s="46"/>
      <c r="G56" s="46"/>
      <c r="H56" s="46"/>
      <c r="I56" s="6">
        <f>(I10+I11+$I$54)*I7</f>
        <v>988.26332588023661</v>
      </c>
      <c r="J56" s="5">
        <f>(J10+$J$54)*J7</f>
        <v>1124.1693114983291</v>
      </c>
      <c r="K56" s="5">
        <f>(K10+$K$54)*K7</f>
        <v>1088.765355456592</v>
      </c>
      <c r="L56" s="36"/>
    </row>
    <row r="57" spans="1:20" s="2" customFormat="1" x14ac:dyDescent="0.25">
      <c r="A57" s="47" t="s">
        <v>9</v>
      </c>
      <c r="B57" s="46"/>
      <c r="C57" s="46"/>
      <c r="D57" s="46"/>
      <c r="E57" s="46"/>
      <c r="F57" s="46"/>
      <c r="G57" s="46"/>
      <c r="H57" s="46"/>
      <c r="I57" s="6">
        <f>(I10+$I$54)*I8</f>
        <v>1257.7896874839375</v>
      </c>
      <c r="J57" s="5">
        <f>(J10+$J$54)*J8</f>
        <v>1430.7609419069645</v>
      </c>
      <c r="K57" s="5">
        <f>(K10+$K$54)*I8</f>
        <v>1385.701361490208</v>
      </c>
      <c r="L57" s="36"/>
    </row>
    <row r="58" spans="1:20" s="2" customFormat="1" ht="15.75" thickBot="1" x14ac:dyDescent="0.3">
      <c r="A58" s="45" t="s">
        <v>7</v>
      </c>
      <c r="B58" s="44"/>
      <c r="C58" s="44"/>
      <c r="D58" s="44"/>
      <c r="E58" s="44"/>
      <c r="F58" s="44"/>
      <c r="G58" s="44"/>
      <c r="H58" s="44"/>
      <c r="I58" s="35">
        <f>(I10+$I$54)*I9</f>
        <v>1677.05291664525</v>
      </c>
      <c r="J58" s="34">
        <f>(J10+$J$54)*J9</f>
        <v>1907.6812558759525</v>
      </c>
      <c r="K58" s="34">
        <f>(K10+$K$54)*K9</f>
        <v>1847.6018153202774</v>
      </c>
      <c r="L58" s="33"/>
    </row>
    <row r="59" spans="1:20" s="2" customFormat="1" ht="18.75" customHeight="1" x14ac:dyDescent="0.25">
      <c r="A59" s="32" t="s">
        <v>5</v>
      </c>
      <c r="B59" s="31"/>
      <c r="C59" s="31"/>
      <c r="D59" s="31"/>
      <c r="E59" s="31"/>
      <c r="F59" s="31"/>
      <c r="G59" s="31"/>
      <c r="H59" s="31"/>
      <c r="I59" s="11"/>
      <c r="J59" s="16"/>
      <c r="K59" s="16"/>
      <c r="L59" s="36"/>
    </row>
    <row r="60" spans="1:20" s="2" customFormat="1" x14ac:dyDescent="0.25">
      <c r="A60" s="13" t="s">
        <v>4</v>
      </c>
      <c r="B60" s="31"/>
      <c r="C60" s="31"/>
      <c r="D60" s="31"/>
      <c r="E60" s="31"/>
      <c r="F60" s="31"/>
      <c r="G60" s="31"/>
      <c r="H60" s="31"/>
      <c r="I60" s="29">
        <f>-I37</f>
        <v>4633567.82</v>
      </c>
      <c r="J60" s="28">
        <f>-J37</f>
        <v>5500723.0527999988</v>
      </c>
      <c r="K60" s="28">
        <f>-K37</f>
        <v>5152165.6029119985</v>
      </c>
      <c r="L60" s="36"/>
    </row>
    <row r="61" spans="1:20" s="2" customFormat="1" x14ac:dyDescent="0.25">
      <c r="A61" s="22" t="s">
        <v>36</v>
      </c>
      <c r="B61" s="31"/>
      <c r="C61" s="31"/>
      <c r="D61" s="31"/>
      <c r="E61" s="31"/>
      <c r="F61" s="31"/>
      <c r="G61" s="31"/>
      <c r="H61" s="31"/>
      <c r="I61" s="21">
        <v>60</v>
      </c>
      <c r="J61" s="20">
        <f>I61</f>
        <v>60</v>
      </c>
      <c r="K61" s="20">
        <f>J61</f>
        <v>60</v>
      </c>
      <c r="L61" s="36"/>
    </row>
    <row r="62" spans="1:20" s="2" customFormat="1" ht="30" x14ac:dyDescent="0.25">
      <c r="A62" s="13" t="s">
        <v>53</v>
      </c>
      <c r="B62" s="31"/>
      <c r="C62" s="31"/>
      <c r="D62" s="31"/>
      <c r="E62" s="31"/>
      <c r="F62" s="31"/>
      <c r="G62" s="31"/>
      <c r="H62" s="31"/>
      <c r="I62" s="38">
        <f>I60/I61</f>
        <v>77226.130333333334</v>
      </c>
      <c r="J62" s="37">
        <f>J60/J61</f>
        <v>91678.717546666652</v>
      </c>
      <c r="K62" s="37">
        <f>K60/K61</f>
        <v>85869.426715199981</v>
      </c>
      <c r="L62" s="36"/>
    </row>
    <row r="63" spans="1:20" s="2" customFormat="1" ht="45" x14ac:dyDescent="0.25">
      <c r="A63" s="13" t="s">
        <v>54</v>
      </c>
      <c r="B63" s="31"/>
      <c r="C63" s="31"/>
      <c r="D63" s="31"/>
      <c r="E63" s="31"/>
      <c r="F63" s="31"/>
      <c r="G63" s="31"/>
      <c r="H63" s="31"/>
      <c r="I63" s="38">
        <f>0.95*I26-I62</f>
        <v>-15624.791083333337</v>
      </c>
      <c r="J63" s="37">
        <f>0.95*J26-J62</f>
        <v>-27613.324726666651</v>
      </c>
      <c r="K63" s="37">
        <f>0.95*K26-K62</f>
        <v>-19241.418182399968</v>
      </c>
      <c r="L63" s="36"/>
    </row>
    <row r="64" spans="1:20" s="2" customFormat="1" ht="30" x14ac:dyDescent="0.25">
      <c r="A64" s="43" t="s">
        <v>55</v>
      </c>
      <c r="B64" s="31"/>
      <c r="C64" s="31"/>
      <c r="D64" s="31"/>
      <c r="E64" s="31"/>
      <c r="F64" s="31"/>
      <c r="G64" s="31"/>
      <c r="H64" s="31"/>
      <c r="I64" s="42">
        <f>-IF(I63&gt;0,0,I63/I6)</f>
        <v>2.4093741069133903</v>
      </c>
      <c r="J64" s="41">
        <f>-IF(J63&gt;0,0,J63/J6)</f>
        <v>4.2580300272423521</v>
      </c>
      <c r="K64" s="41">
        <f>-IF(K63&gt;0,0,K63/K6)</f>
        <v>2.9670652555743975</v>
      </c>
      <c r="L64" s="36"/>
    </row>
    <row r="65" spans="1:12" s="2" customFormat="1" x14ac:dyDescent="0.25">
      <c r="A65" s="13" t="s">
        <v>41</v>
      </c>
      <c r="B65" s="31"/>
      <c r="C65" s="31"/>
      <c r="D65" s="31"/>
      <c r="E65" s="31"/>
      <c r="F65" s="31"/>
      <c r="G65" s="31"/>
      <c r="H65" s="31"/>
      <c r="I65" s="10"/>
      <c r="J65" s="9"/>
      <c r="K65" s="9"/>
      <c r="L65" s="36"/>
    </row>
    <row r="66" spans="1:12" s="2" customFormat="1" x14ac:dyDescent="0.25">
      <c r="A66" s="8" t="s">
        <v>0</v>
      </c>
      <c r="B66" s="31"/>
      <c r="C66" s="31"/>
      <c r="D66" s="31"/>
      <c r="E66" s="31"/>
      <c r="F66" s="31"/>
      <c r="G66" s="31"/>
      <c r="H66" s="31"/>
      <c r="I66" s="40">
        <f>IF(I64&gt;0,(I64+I10)*I7,I23)</f>
        <v>412.80934552814188</v>
      </c>
      <c r="J66" s="39">
        <f>IF(J64&gt;0,(J64+J10)*J7,J23)</f>
        <v>487.14699089899761</v>
      </c>
      <c r="K66" s="39">
        <f>IF(K64&gt;0,(K64+K10)*K7,K23)</f>
        <v>458.41043343395512</v>
      </c>
      <c r="L66" s="36"/>
    </row>
    <row r="67" spans="1:12" s="2" customFormat="1" x14ac:dyDescent="0.25">
      <c r="A67" s="8" t="s">
        <v>9</v>
      </c>
      <c r="B67" s="31"/>
      <c r="C67" s="31"/>
      <c r="D67" s="31"/>
      <c r="E67" s="31"/>
      <c r="F67" s="31"/>
      <c r="G67" s="31"/>
      <c r="H67" s="31"/>
      <c r="I67" s="40">
        <f>IF(I63&lt;0,(I64+I10)*I8,I24)</f>
        <v>525.3937124903623</v>
      </c>
      <c r="J67" s="39">
        <f>IF(J63&lt;0,(J64+J10)*J8,J24)</f>
        <v>620.0052611441788</v>
      </c>
      <c r="K67" s="39">
        <f>IF(K63&lt;0,(K64+K10)*K8,K24)</f>
        <v>583.4314607341247</v>
      </c>
      <c r="L67" s="36"/>
    </row>
    <row r="68" spans="1:12" s="2" customFormat="1" x14ac:dyDescent="0.25">
      <c r="A68" s="8" t="s">
        <v>7</v>
      </c>
      <c r="B68" s="31"/>
      <c r="C68" s="31"/>
      <c r="D68" s="31"/>
      <c r="E68" s="31"/>
      <c r="F68" s="31"/>
      <c r="G68" s="31"/>
      <c r="H68" s="31"/>
      <c r="I68" s="40">
        <f>IF(I63&lt;0,(I64+I10)*I9,I25)</f>
        <v>700.52494998714985</v>
      </c>
      <c r="J68" s="39">
        <f>IF(J63&lt;0,(J64+J10)*J9,J25)</f>
        <v>826.67368152557174</v>
      </c>
      <c r="K68" s="39">
        <f>IF(K63&lt;0,(K64+K10)*K9,K25)</f>
        <v>777.90861431216626</v>
      </c>
      <c r="L68" s="36"/>
    </row>
    <row r="69" spans="1:12" s="2" customFormat="1" x14ac:dyDescent="0.25">
      <c r="A69" s="32" t="s">
        <v>3</v>
      </c>
      <c r="B69" s="11"/>
      <c r="C69" s="11"/>
      <c r="D69" s="11"/>
      <c r="E69" s="11"/>
      <c r="F69" s="11"/>
      <c r="G69" s="11"/>
      <c r="H69" s="11"/>
      <c r="I69" s="10"/>
      <c r="J69" s="9"/>
      <c r="K69" s="9"/>
      <c r="L69" s="16"/>
    </row>
    <row r="70" spans="1:12" s="2" customFormat="1" x14ac:dyDescent="0.25">
      <c r="A70" s="13" t="s">
        <v>2</v>
      </c>
      <c r="B70" s="31"/>
      <c r="C70" s="30"/>
      <c r="D70" s="11"/>
      <c r="E70" s="11"/>
      <c r="F70" s="11"/>
      <c r="G70" s="11"/>
      <c r="H70" s="11"/>
      <c r="I70" s="29">
        <f>-I32</f>
        <v>4633567.82</v>
      </c>
      <c r="J70" s="28">
        <f>-J37</f>
        <v>5500723.0527999988</v>
      </c>
      <c r="K70" s="28">
        <f>-K37</f>
        <v>5152165.6029119985</v>
      </c>
      <c r="L70" s="16"/>
    </row>
    <row r="71" spans="1:12" s="2" customFormat="1" x14ac:dyDescent="0.25">
      <c r="A71" s="13" t="s">
        <v>1</v>
      </c>
      <c r="B71" s="17"/>
      <c r="C71" s="11"/>
      <c r="D71" s="11"/>
      <c r="E71" s="11"/>
      <c r="F71" s="11"/>
      <c r="G71" s="11"/>
      <c r="H71" s="11"/>
      <c r="I71" s="27">
        <v>0.16500000000000001</v>
      </c>
      <c r="J71" s="26">
        <f>I71</f>
        <v>0.16500000000000001</v>
      </c>
      <c r="K71" s="25">
        <f>J71</f>
        <v>0.16500000000000001</v>
      </c>
      <c r="L71" s="16"/>
    </row>
    <row r="72" spans="1:12" s="19" customFormat="1" x14ac:dyDescent="0.25">
      <c r="A72" s="22" t="s">
        <v>34</v>
      </c>
      <c r="B72" s="21"/>
      <c r="C72" s="21"/>
      <c r="D72" s="21"/>
      <c r="E72" s="21"/>
      <c r="F72" s="21"/>
      <c r="G72" s="21"/>
      <c r="H72" s="21"/>
      <c r="I72" s="21">
        <v>60</v>
      </c>
      <c r="J72" s="20">
        <f>I72</f>
        <v>60</v>
      </c>
      <c r="K72" s="20">
        <f>J72</f>
        <v>60</v>
      </c>
      <c r="L72" s="20"/>
    </row>
    <row r="73" spans="1:12" s="2" customFormat="1" x14ac:dyDescent="0.25">
      <c r="A73" s="13" t="s">
        <v>56</v>
      </c>
      <c r="B73" s="12"/>
      <c r="C73" s="11"/>
      <c r="D73" s="11"/>
      <c r="E73" s="11"/>
      <c r="F73" s="11"/>
      <c r="G73" s="11"/>
      <c r="H73" s="11"/>
      <c r="I73" s="10">
        <f>-PMT(I71/12,I72,I70)</f>
        <v>113914.04582203018</v>
      </c>
      <c r="J73" s="9">
        <f>-PMT(J71/12,J72,J70)</f>
        <v>135232.64193658804</v>
      </c>
      <c r="K73" s="9">
        <f>-PMT(K71/12,K72,K70)</f>
        <v>126663.52395653617</v>
      </c>
      <c r="L73" s="16"/>
    </row>
    <row r="74" spans="1:12" s="2" customFormat="1" ht="45" x14ac:dyDescent="0.25">
      <c r="A74" s="18" t="s">
        <v>57</v>
      </c>
      <c r="B74" s="17"/>
      <c r="C74" s="11"/>
      <c r="D74" s="11"/>
      <c r="E74" s="11"/>
      <c r="F74" s="11"/>
      <c r="G74" s="11"/>
      <c r="H74" s="11"/>
      <c r="I74" s="10">
        <f>0.8*I26-I73</f>
        <v>-62039.233822030175</v>
      </c>
      <c r="J74" s="9">
        <f>0.8*J26-J73</f>
        <v>-81282.837456588037</v>
      </c>
      <c r="K74" s="9">
        <f>0.8*K26-K73</f>
        <v>-70555.727297336154</v>
      </c>
      <c r="L74" s="16"/>
    </row>
    <row r="75" spans="1:12" s="2" customFormat="1" x14ac:dyDescent="0.25">
      <c r="A75" s="13" t="s">
        <v>58</v>
      </c>
      <c r="B75" s="10"/>
      <c r="C75" s="10"/>
      <c r="D75" s="10"/>
      <c r="E75" s="10"/>
      <c r="F75" s="10"/>
      <c r="G75" s="10"/>
      <c r="H75" s="10"/>
      <c r="I75" s="125">
        <f>-IF(I74&lt;0,I74/I6,0)</f>
        <v>9.5665742208219235</v>
      </c>
      <c r="J75" s="126">
        <f>-IF(J74&lt;0,J74/J6,0)</f>
        <v>12.533976477500083</v>
      </c>
      <c r="K75" s="51">
        <f>-IF(K74&lt;0,K74/K6,0)</f>
        <v>10.879834587098868</v>
      </c>
      <c r="L75" s="9"/>
    </row>
    <row r="76" spans="1:12" s="2" customFormat="1" x14ac:dyDescent="0.25">
      <c r="A76" s="13" t="s">
        <v>42</v>
      </c>
      <c r="B76" s="12"/>
      <c r="C76" s="11"/>
      <c r="D76" s="11"/>
      <c r="E76" s="11"/>
      <c r="F76" s="11"/>
      <c r="G76" s="11"/>
      <c r="H76" s="11"/>
      <c r="I76" s="24"/>
      <c r="J76" s="23"/>
      <c r="K76" s="16"/>
      <c r="L76" s="16"/>
    </row>
    <row r="77" spans="1:12" s="2" customFormat="1" x14ac:dyDescent="0.25">
      <c r="A77" s="8" t="s">
        <v>0</v>
      </c>
      <c r="B77" s="7"/>
      <c r="C77" s="7"/>
      <c r="D77" s="7"/>
      <c r="E77" s="7"/>
      <c r="F77" s="7"/>
      <c r="G77" s="7"/>
      <c r="H77" s="7"/>
      <c r="I77" s="15">
        <f>IF(I74&lt;0,(I75+I10)*I7,I23)</f>
        <v>648.99694928712336</v>
      </c>
      <c r="J77" s="9">
        <f>IF(J74&lt;0,(J75+J10)*J7,J23)</f>
        <v>760.25322375750261</v>
      </c>
      <c r="K77" s="9">
        <f>IF(K74&lt;0,(K75+K10)*K7,K23)</f>
        <v>719.53182137426268</v>
      </c>
      <c r="L77" s="16"/>
    </row>
    <row r="78" spans="1:12" s="2" customFormat="1" x14ac:dyDescent="0.25">
      <c r="A78" s="8" t="s">
        <v>9</v>
      </c>
      <c r="B78" s="7"/>
      <c r="C78" s="7"/>
      <c r="D78" s="7"/>
      <c r="E78" s="7"/>
      <c r="F78" s="7"/>
      <c r="G78" s="7"/>
      <c r="H78" s="7"/>
      <c r="I78" s="15">
        <f>IF(I75&gt;0,(I75+I10)*I8,I24)</f>
        <v>825.99611727452066</v>
      </c>
      <c r="J78" s="9">
        <f>IF(J75&gt;0,(J75+J10)*J8,J24)</f>
        <v>967.59501205500339</v>
      </c>
      <c r="K78" s="9">
        <f>IF(K75&gt;0,(K75+K10)*K8,K24)</f>
        <v>915.76777265815258</v>
      </c>
      <c r="L78" s="16"/>
    </row>
    <row r="79" spans="1:12" s="2" customFormat="1" x14ac:dyDescent="0.25">
      <c r="A79" s="8" t="s">
        <v>7</v>
      </c>
      <c r="B79" s="7"/>
      <c r="C79" s="7"/>
      <c r="D79" s="7"/>
      <c r="E79" s="7"/>
      <c r="F79" s="7"/>
      <c r="G79" s="7"/>
      <c r="H79" s="7"/>
      <c r="I79" s="15">
        <f>IF(I74&lt;0,(I75+I10)*I9,I25)</f>
        <v>1101.3281563660275</v>
      </c>
      <c r="J79" s="9">
        <f>IF(J74&lt;0,(J75+J10)*J9,J25)</f>
        <v>1290.1266827400045</v>
      </c>
      <c r="K79" s="9">
        <f>IF(K74&lt;0,(K75+K10)*K9,K25)</f>
        <v>1221.0236968775366</v>
      </c>
      <c r="L79" s="16"/>
    </row>
  </sheetData>
  <sheetProtection algorithmName="SHA-512" hashValue="rQur9dJuDmDKbDzyBIsNorV6EUnozHuh7RO8A9HquYguZg0evFI8DxV2BnO7A0YdRDI0Z/immT2oPxFaneGfPg==" saltValue="tXd3ZsHNaApsAG9LPZRJiw==" spinCount="100000" sheet="1" objects="1" scenarios="1"/>
  <mergeCells count="2">
    <mergeCell ref="A3:L3"/>
    <mergeCell ref="A1:L1"/>
  </mergeCells>
  <conditionalFormatting sqref="I31:I33 J32:L32">
    <cfRule type="cellIs" dxfId="6" priority="10" operator="lessThan">
      <formula>0</formula>
    </cfRule>
  </conditionalFormatting>
  <conditionalFormatting sqref="I37:K37">
    <cfRule type="cellIs" dxfId="5" priority="9" operator="lessThan">
      <formula>0</formula>
    </cfRule>
  </conditionalFormatting>
  <conditionalFormatting sqref="I45:K45">
    <cfRule type="cellIs" dxfId="4" priority="8" operator="lessThan">
      <formula>0</formula>
    </cfRule>
  </conditionalFormatting>
  <conditionalFormatting sqref="I51:K51">
    <cfRule type="cellIs" dxfId="3" priority="7" operator="lessThan">
      <formula>0</formula>
    </cfRule>
  </conditionalFormatting>
  <conditionalFormatting sqref="I63:K63">
    <cfRule type="cellIs" dxfId="2" priority="6" operator="lessThan">
      <formula>0</formula>
    </cfRule>
  </conditionalFormatting>
  <conditionalFormatting sqref="I74:K74">
    <cfRule type="cellIs" dxfId="1" priority="4" operator="lessThan">
      <formula>0</formula>
    </cfRule>
  </conditionalFormatting>
  <conditionalFormatting sqref="B31:L3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F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Финмодель_форма для заполнения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Железова</dc:creator>
  <cp:lastModifiedBy>Евгения Железова</cp:lastModifiedBy>
  <dcterms:created xsi:type="dcterms:W3CDTF">2022-01-28T15:21:52Z</dcterms:created>
  <dcterms:modified xsi:type="dcterms:W3CDTF">2022-03-30T12:39:08Z</dcterms:modified>
</cp:coreProperties>
</file>