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NO NAME/Финансовая модель капремонта на спецсчете/Для семинара 17 февраля 2022 года /"/>
    </mc:Choice>
  </mc:AlternateContent>
  <xr:revisionPtr revIDLastSave="0" documentId="13_ncr:1_{047AC399-BED3-0E41-843F-B8847E81895A}" xr6:coauthVersionLast="36" xr6:coauthVersionMax="36" xr10:uidLastSave="{00000000-0000-0000-0000-000000000000}"/>
  <workbookProtection workbookAlgorithmName="SHA-512" workbookHashValue="2FFvkDJF45yXQyhgMacOny2n9fjp5H/AzsHYMb8L5KaMb5lsypJp9l2t5jzYnGqfL7hFDhbco2PWsCOZuu3nMQ==" workbookSaltValue="TU/4VfPb2oE8o0nVBzFkJw==" workbookSpinCount="100000" lockStructure="1"/>
  <bookViews>
    <workbookView xWindow="0" yWindow="0" windowWidth="28800" windowHeight="18000" xr2:uid="{00000000-000D-0000-FFFF-FFFF00000000}"/>
  </bookViews>
  <sheets>
    <sheet name="Финансовая модель _Пример 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B20" i="2"/>
  <c r="B19" i="2"/>
  <c r="B18" i="2"/>
  <c r="C7" i="2" l="1"/>
  <c r="C6" i="2"/>
  <c r="D6" i="2" l="1"/>
  <c r="C19" i="2"/>
  <c r="D7" i="2"/>
  <c r="C20" i="2"/>
  <c r="J30" i="2"/>
  <c r="K30" i="2" s="1"/>
  <c r="E7" i="2" l="1"/>
  <c r="D20" i="2"/>
  <c r="E6" i="2"/>
  <c r="D19" i="2"/>
  <c r="C5" i="2"/>
  <c r="D5" i="2" l="1"/>
  <c r="C18" i="2"/>
  <c r="F6" i="2"/>
  <c r="E19" i="2"/>
  <c r="F7" i="2"/>
  <c r="E20" i="2"/>
  <c r="C4" i="2"/>
  <c r="D4" i="2" s="1"/>
  <c r="I8" i="2"/>
  <c r="B10" i="2"/>
  <c r="B13" i="2" s="1"/>
  <c r="B21" i="2" s="1"/>
  <c r="G6" i="2" l="1"/>
  <c r="F19" i="2"/>
  <c r="G7" i="2"/>
  <c r="F20" i="2"/>
  <c r="E5" i="2"/>
  <c r="D18" i="2"/>
  <c r="J8" i="2"/>
  <c r="B22" i="2"/>
  <c r="D10" i="2"/>
  <c r="D13" i="2" s="1"/>
  <c r="D22" i="2" s="1"/>
  <c r="C10" i="2"/>
  <c r="C13" i="2" s="1"/>
  <c r="C21" i="2" s="1"/>
  <c r="E4" i="2"/>
  <c r="B12" i="2"/>
  <c r="H7" i="2" l="1"/>
  <c r="G20" i="2"/>
  <c r="F5" i="2"/>
  <c r="E18" i="2"/>
  <c r="H6" i="2"/>
  <c r="G19" i="2"/>
  <c r="D12" i="2"/>
  <c r="K8" i="2"/>
  <c r="D21" i="2"/>
  <c r="C12" i="2"/>
  <c r="F4" i="2"/>
  <c r="G4" i="2" s="1"/>
  <c r="C22" i="2"/>
  <c r="E10" i="2"/>
  <c r="E13" i="2" s="1"/>
  <c r="E22" i="2" s="1"/>
  <c r="G5" i="2" l="1"/>
  <c r="F18" i="2"/>
  <c r="I6" i="2"/>
  <c r="H19" i="2"/>
  <c r="I7" i="2"/>
  <c r="H20" i="2"/>
  <c r="L8" i="2"/>
  <c r="E21" i="2"/>
  <c r="H4" i="2"/>
  <c r="I4" i="2" s="1"/>
  <c r="F10" i="2"/>
  <c r="E12" i="2"/>
  <c r="G10" i="2"/>
  <c r="G13" i="2" s="1"/>
  <c r="G21" i="2" s="1"/>
  <c r="J6" i="2" l="1"/>
  <c r="I19" i="2"/>
  <c r="J7" i="2"/>
  <c r="I20" i="2"/>
  <c r="H5" i="2"/>
  <c r="G18" i="2"/>
  <c r="H10" i="2"/>
  <c r="I21" i="2"/>
  <c r="I22" i="2"/>
  <c r="F12" i="2"/>
  <c r="F13" i="2"/>
  <c r="G22" i="2"/>
  <c r="G12" i="2"/>
  <c r="J4" i="2"/>
  <c r="I10" i="2"/>
  <c r="I44" i="2" l="1"/>
  <c r="I38" i="2"/>
  <c r="I37" i="2"/>
  <c r="I43" i="2"/>
  <c r="K7" i="2"/>
  <c r="J20" i="2"/>
  <c r="I5" i="2"/>
  <c r="H18" i="2"/>
  <c r="K6" i="2"/>
  <c r="J19" i="2"/>
  <c r="J21" i="2"/>
  <c r="J22" i="2"/>
  <c r="F22" i="2"/>
  <c r="F21" i="2"/>
  <c r="K4" i="2"/>
  <c r="J10" i="2"/>
  <c r="J11" i="2" s="1"/>
  <c r="I11" i="2"/>
  <c r="J43" i="2" l="1"/>
  <c r="J37" i="2"/>
  <c r="J38" i="2"/>
  <c r="J44" i="2"/>
  <c r="J5" i="2"/>
  <c r="I18" i="2"/>
  <c r="L6" i="2"/>
  <c r="K19" i="2"/>
  <c r="L7" i="2"/>
  <c r="K20" i="2"/>
  <c r="K21" i="2"/>
  <c r="K22" i="2"/>
  <c r="J12" i="2"/>
  <c r="L4" i="2"/>
  <c r="L10" i="2" s="1"/>
  <c r="K10" i="2"/>
  <c r="I12" i="2"/>
  <c r="K43" i="2" l="1"/>
  <c r="K37" i="2"/>
  <c r="K44" i="2"/>
  <c r="K38" i="2"/>
  <c r="I42" i="2"/>
  <c r="I36" i="2"/>
  <c r="K5" i="2"/>
  <c r="J18" i="2"/>
  <c r="L11" i="2"/>
  <c r="K11" i="2"/>
  <c r="J42" i="2" l="1"/>
  <c r="J36" i="2"/>
  <c r="L5" i="2"/>
  <c r="K18" i="2"/>
  <c r="L12" i="2"/>
  <c r="K12" i="2"/>
  <c r="K42" i="2" l="1"/>
  <c r="K36" i="2"/>
  <c r="B24" i="2"/>
  <c r="B23" i="2"/>
  <c r="C23" i="2" s="1"/>
  <c r="C25" i="2" s="1"/>
  <c r="B25" i="2" l="1"/>
  <c r="D23" i="2"/>
  <c r="C24" i="2"/>
  <c r="E23" i="2" l="1"/>
  <c r="D25" i="2"/>
  <c r="D24" i="2"/>
  <c r="E24" i="2" s="1"/>
  <c r="F24" i="2" s="1"/>
  <c r="G24" i="2" s="1"/>
  <c r="E25" i="2" l="1"/>
  <c r="F23" i="2"/>
  <c r="G23" i="2" l="1"/>
  <c r="F25" i="2"/>
  <c r="G25" i="2" l="1"/>
  <c r="H12" i="2" l="1"/>
  <c r="H24" i="2" s="1"/>
  <c r="I24" i="2" s="1"/>
  <c r="J24" i="2" s="1"/>
  <c r="K24" i="2" s="1"/>
  <c r="H13" i="2"/>
  <c r="H22" i="2" s="1"/>
  <c r="H23" i="2"/>
  <c r="H25" i="2" s="1"/>
  <c r="I23" i="2" l="1"/>
  <c r="H21" i="2"/>
  <c r="I31" i="2" l="1"/>
  <c r="I26" i="2"/>
  <c r="I39" i="2" s="1"/>
  <c r="J23" i="2"/>
  <c r="J31" i="2" s="1"/>
  <c r="J39" i="2" s="1"/>
  <c r="I25" i="2"/>
  <c r="J25" i="2" s="1"/>
  <c r="K25" i="2" s="1"/>
  <c r="K23" i="2" l="1"/>
  <c r="K31" i="2" s="1"/>
  <c r="K39" i="2" s="1"/>
  <c r="I27" i="2"/>
  <c r="I58" i="2"/>
  <c r="I32" i="2"/>
  <c r="I47" i="2"/>
  <c r="I49" i="2" s="1"/>
  <c r="I76" i="2"/>
  <c r="I52" i="2"/>
  <c r="I45" i="2"/>
  <c r="I51" i="2" l="1"/>
  <c r="I50" i="2"/>
  <c r="J45" i="2"/>
  <c r="J76" i="2"/>
  <c r="J52" i="2"/>
  <c r="J32" i="2"/>
  <c r="J58" i="2"/>
  <c r="J47" i="2"/>
  <c r="K54" i="2"/>
  <c r="J54" i="2"/>
  <c r="I56" i="2"/>
  <c r="I54" i="2"/>
  <c r="I55" i="2"/>
  <c r="I68" i="2"/>
  <c r="I69" i="2" s="1"/>
  <c r="I70" i="2" s="1"/>
  <c r="I60" i="2"/>
  <c r="I61" i="2" s="1"/>
  <c r="I62" i="2" s="1"/>
  <c r="I87" i="2"/>
  <c r="I88" i="2" s="1"/>
  <c r="I79" i="2"/>
  <c r="I80" i="2" s="1"/>
  <c r="K52" i="2"/>
  <c r="K47" i="2"/>
  <c r="K58" i="2"/>
  <c r="K45" i="2"/>
  <c r="K32" i="2"/>
  <c r="K76" i="2"/>
  <c r="I81" i="2" l="1"/>
  <c r="I84" i="2" s="1"/>
  <c r="I92" i="2"/>
  <c r="I89" i="2"/>
  <c r="I91" i="2" s="1"/>
  <c r="K55" i="2"/>
  <c r="K56" i="2"/>
  <c r="I72" i="2"/>
  <c r="K68" i="2"/>
  <c r="K69" i="2" s="1"/>
  <c r="K70" i="2" s="1"/>
  <c r="K60" i="2"/>
  <c r="K61" i="2" s="1"/>
  <c r="K62" i="2" s="1"/>
  <c r="J55" i="2"/>
  <c r="J56" i="2"/>
  <c r="K87" i="2"/>
  <c r="K88" i="2" s="1"/>
  <c r="K79" i="2"/>
  <c r="K80" i="2" s="1"/>
  <c r="K50" i="2"/>
  <c r="K51" i="2"/>
  <c r="K49" i="2"/>
  <c r="J51" i="2"/>
  <c r="J50" i="2"/>
  <c r="J49" i="2"/>
  <c r="I64" i="2"/>
  <c r="I66" i="2"/>
  <c r="J68" i="2"/>
  <c r="J69" i="2" s="1"/>
  <c r="J70" i="2" s="1"/>
  <c r="J60" i="2"/>
  <c r="J61" i="2" s="1"/>
  <c r="J62" i="2" s="1"/>
  <c r="J87" i="2"/>
  <c r="J88" i="2" s="1"/>
  <c r="J79" i="2"/>
  <c r="J80" i="2" s="1"/>
  <c r="I93" i="2" l="1"/>
  <c r="I85" i="2"/>
  <c r="I83" i="2"/>
  <c r="K81" i="2"/>
  <c r="K84" i="2" s="1"/>
  <c r="K64" i="2"/>
  <c r="I74" i="2"/>
  <c r="J81" i="2"/>
  <c r="J84" i="2" s="1"/>
  <c r="J89" i="2"/>
  <c r="J91" i="2" s="1"/>
  <c r="J64" i="2"/>
  <c r="I65" i="2"/>
  <c r="K74" i="2"/>
  <c r="K89" i="2"/>
  <c r="K91" i="2" s="1"/>
  <c r="I73" i="2"/>
  <c r="J72" i="2"/>
  <c r="K92" i="2" l="1"/>
  <c r="K66" i="2"/>
  <c r="K93" i="2"/>
  <c r="K65" i="2"/>
  <c r="J74" i="2"/>
  <c r="J73" i="2"/>
  <c r="J85" i="2"/>
  <c r="K73" i="2"/>
  <c r="J65" i="2"/>
  <c r="J93" i="2"/>
  <c r="K83" i="2"/>
  <c r="K72" i="2"/>
  <c r="J92" i="2"/>
  <c r="J83" i="2"/>
  <c r="K85" i="2"/>
  <c r="J66" i="2"/>
</calcChain>
</file>

<file path=xl/sharedStrings.xml><?xml version="1.0" encoding="utf-8"?>
<sst xmlns="http://schemas.openxmlformats.org/spreadsheetml/2006/main" count="95" uniqueCount="73">
  <si>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</si>
  <si>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</si>
  <si>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</si>
  <si>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</si>
  <si>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 xml:space="preserve">12. Цепные индексы-дефляторы для прогноза стоимости работ по КР в будущие периоды </t>
  </si>
  <si>
    <t xml:space="preserve">Блок В. Расчетные показатели </t>
  </si>
  <si>
    <t>1. Площадь всех помещений в МКД, на которую начисляются взносы на КР, кв. м</t>
  </si>
  <si>
    <t xml:space="preserve">3. Площадь 2-комнатной квартиры, кв. м </t>
  </si>
  <si>
    <t xml:space="preserve">4. Площадь 3-комнатной квартиры, кв. м </t>
  </si>
  <si>
    <t>5. Установленный минимальный размер взноса на КР, руб./кв. м в месяц</t>
  </si>
  <si>
    <t xml:space="preserve">6. Прогноз индекса потребительских цен, % </t>
  </si>
  <si>
    <t xml:space="preserve">7. Годовой размер начисленных взносов на КР, руб. </t>
  </si>
  <si>
    <t xml:space="preserve">8. Годовой размер уплаченных взносов на КР, руб.  </t>
  </si>
  <si>
    <t xml:space="preserve">9. Годовой размер задолженности по взносам на КР, руб. </t>
  </si>
  <si>
    <t>1. Размер ежемесячного платежа на  КР, руб.:</t>
  </si>
  <si>
    <t xml:space="preserve">за 1-комнатную квартиру </t>
  </si>
  <si>
    <t xml:space="preserve">за 2-комнатную квартиру </t>
  </si>
  <si>
    <t xml:space="preserve">за 3-комнатную квартиру </t>
  </si>
  <si>
    <t>Блок С. Варианты привлечения средств для финансирования КР (восполнения дефицита)</t>
  </si>
  <si>
    <t>1. Перенос срока выполнения работы в пределах планируемого краткосрочного периода</t>
  </si>
  <si>
    <t xml:space="preserve">2.1.2. Размер дефицита средств с учетом авансовых платежей, руб. </t>
  </si>
  <si>
    <t xml:space="preserve">2.2. Внесение авансом платежей на КР за 6 месяцев следующего года, руб.  </t>
  </si>
  <si>
    <t xml:space="preserve">2.2.2. Размер  дефицита средств с учетом авансовых платежей, руб. </t>
  </si>
  <si>
    <t>4. Рассрочка, предоставленная подрядчиком</t>
  </si>
  <si>
    <t xml:space="preserve">Сумма, выплачиваемая в рассрочку, руб. </t>
  </si>
  <si>
    <t>4.1. Период рассрочки - 6 месяцев</t>
  </si>
  <si>
    <t>4.2. Период рассрочки - 12 месяцев</t>
  </si>
  <si>
    <t xml:space="preserve">5. Привлечение кредита </t>
  </si>
  <si>
    <t xml:space="preserve">Сумма кредита, руб. </t>
  </si>
  <si>
    <t xml:space="preserve">Процентная ставка по кредиту, % годовых </t>
  </si>
  <si>
    <t xml:space="preserve">2. Площадь 1-комнатной квартиры, кв. м </t>
  </si>
  <si>
    <t xml:space="preserve">10. Уровень собираемости взносов на КР, % </t>
  </si>
  <si>
    <t xml:space="preserve">5.1. Срок кредита - 36 месяцев </t>
  </si>
  <si>
    <t xml:space="preserve">5.2. Срок кредита - 60 месяцев </t>
  </si>
  <si>
    <t xml:space="preserve">8. Размер дефицита (-) / профицита (+) средств при полном погашения задолженности собственников помещений за КР, руб.   </t>
  </si>
  <si>
    <t>ФИНАНСОВАЯ МОДЕЛЬ 1 - краткосрочное планирование капитального ремонта МКД. ПРИМЕР 2.</t>
  </si>
  <si>
    <t xml:space="preserve">5. Размер задолженности собственников помещений по взносам на КР накопленным итогом, руб.  </t>
  </si>
  <si>
    <t>за 2-комнатную квартиру</t>
  </si>
  <si>
    <t>за 3-комнатную квартиру</t>
  </si>
  <si>
    <t xml:space="preserve">11. Стоимость планируемой в ближайший период работы по КР (ремонт внутридомовых инженерных систем ГВС и ХВС (стояки и разводящие сети) в 2022-2024 гг.) </t>
  </si>
  <si>
    <t xml:space="preserve">2. Ежемесячные поступления на спец. счет с учетом уровня собираемости взносов, руб. </t>
  </si>
  <si>
    <t xml:space="preserve">3. Годовые поступления на спец. счет с учетом уровня собираемости взносов, руб. </t>
  </si>
  <si>
    <t xml:space="preserve">4. Общий объем средств, поступивших на спец. счет, накопленным итогом на конец года, руб.  </t>
  </si>
  <si>
    <t>6. Остаток средств на спец. счете на конец года с учетом расходования средств на проведение работ по КР, руб.</t>
  </si>
  <si>
    <r>
      <t xml:space="preserve">7. Оценка достаточности средств на проведение работы по КР </t>
    </r>
    <r>
      <rPr>
        <sz val="11"/>
        <color theme="1"/>
        <rFont val="Times New Roman"/>
        <family val="1"/>
        <charset val="204"/>
      </rPr>
      <t>(дефицит(-) / профицит(+) средств), руб.</t>
    </r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</si>
  <si>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</si>
  <si>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</si>
  <si>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1.3. Количество месяцев для полного погашения дефицита с учетом фактического уровня собираемости взносов на КР  </t>
  </si>
  <si>
    <t xml:space="preserve">2. Внесение авансового платежа по взносам на КР в счет платежей следующего года  </t>
  </si>
  <si>
    <t xml:space="preserve">2.1. Внесение авансом платежей на КР за 3 месяца следующего года, руб.  </t>
  </si>
  <si>
    <t>2.1.1. Размер месячного платежа на КР в течение 3 месяцев текущего года с учетом авансовых платежей:</t>
  </si>
  <si>
    <t>2.2.1. Размер месячного платежа на КР в течение 6 месяцев текущего года с учетом авансовых платежей:</t>
  </si>
  <si>
    <t>3. Установление дополнительного взноса на КР  на определенный период  для покрытия дефицита</t>
  </si>
  <si>
    <t>3.1. Размер дополнительного взноса на период в 3 месяца, руб./кв. м/мес</t>
  </si>
  <si>
    <t>3.2. Размер дополнительного взноса на период в 6 месяцев, руб./кв. м/мес.</t>
  </si>
  <si>
    <t>3.2.2. Размер месячного платежа на КР с учетом доп. взноса, руб.:</t>
  </si>
  <si>
    <t xml:space="preserve">4.1.2. Достаточность фактических ежемесячных поступлений на спец. счет для погашения задолженности перед подрядчиком, руб. </t>
  </si>
  <si>
    <t>4.1.3. Размер доп. взноса на КР на 6 месяцев, руб./кв. м в месяц</t>
  </si>
  <si>
    <t xml:space="preserve">4.1.4. Размер месячного платежа на КР с учетом доп. взноса, руб.: </t>
  </si>
  <si>
    <t>4.2.3. Размер доп. взноса на КР на 12 месяцев, руб./кв. м в месяц</t>
  </si>
  <si>
    <t>3.1.2. Размер ежемесячного платежа на КР с учетом доп. взноса, руб.:</t>
  </si>
  <si>
    <t>4.1.1. Размер месячного платежа в счет погашения задолженности перед подрядчиком, руб.</t>
  </si>
  <si>
    <t>4.2.1. Размер месячного платежа в счет погашения задолженности перед подрядчиком, руб.</t>
  </si>
  <si>
    <t xml:space="preserve">4.2.4. Размер месячного платежа на КР с учетом доп. взноса, руб.: </t>
  </si>
  <si>
    <t>5.1.1. Размер месячного платежа для погашения кредита, руб.</t>
  </si>
  <si>
    <t>5.1.3. Размер доп. взноса на КР на 12 месяцев, руб./кв м в месяц</t>
  </si>
  <si>
    <t xml:space="preserve">5.1.4. Размер месячного платежа на КР с учетом доп. взноса: </t>
  </si>
  <si>
    <t>5.2.1. Размер месячного платежа для погашения кредита, руб.</t>
  </si>
  <si>
    <t>5.2.2. Достаточность фактических ежемесячных поступлений на спец.счет для погашения кредита, руб.</t>
  </si>
  <si>
    <t>5.2.3. Размер дополнительного взноса на КР на 36 месяцев, руб./кв. м в месяц</t>
  </si>
  <si>
    <t xml:space="preserve">5.2.4. Размер месячного платежа на КР с учетом доп. взноса, руб. </t>
  </si>
  <si>
    <t xml:space="preserve">5.1.2. Достаточность фактических ежемесячных поступлений на спец. счет для погашения задолженности по кредиту, руб. </t>
  </si>
  <si>
    <t xml:space="preserve">4.2.2. Достаточность фактических ежемесячных поступлений на спец. счет для погашения задолженности перед подрядчиком,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</si>
</sst>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₽&quot;;[Red]\-#,##0.00\ &quot;₽&quot;"/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"/>
    <numFmt numFmtId="167" formatCode="#,##0.0"/>
  </numFmts>
  <fonts count="22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sz val="11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7EE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2" fontId="3" fillId="6" borderId="0" xfId="1" applyNumberFormat="1" applyFont="1" applyFill="1" applyBorder="1" applyAlignment="1">
      <alignment horizontal="center" vertical="center" wrapText="1"/>
    </xf>
    <xf numFmtId="166" fontId="3" fillId="6" borderId="0" xfId="1" applyNumberFormat="1" applyFont="1" applyFill="1" applyBorder="1" applyAlignment="1">
      <alignment horizontal="center" vertical="center" wrapText="1"/>
    </xf>
    <xf numFmtId="3" fontId="3" fillId="6" borderId="0" xfId="1" applyNumberFormat="1" applyFont="1" applyFill="1" applyBorder="1" applyAlignment="1">
      <alignment horizontal="center" vertical="center" wrapText="1"/>
    </xf>
    <xf numFmtId="164" fontId="3" fillId="6" borderId="0" xfId="1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164" fontId="3" fillId="2" borderId="0" xfId="3" applyNumberFormat="1" applyFont="1" applyFill="1" applyBorder="1" applyAlignment="1">
      <alignment horizontal="center" vertical="center"/>
    </xf>
    <xf numFmtId="164" fontId="3" fillId="3" borderId="0" xfId="3" applyNumberFormat="1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 wrapText="1"/>
    </xf>
    <xf numFmtId="164" fontId="5" fillId="3" borderId="0" xfId="3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164" fontId="3" fillId="4" borderId="0" xfId="3" applyNumberFormat="1" applyFont="1" applyFill="1" applyBorder="1" applyAlignment="1">
      <alignment horizontal="center" vertical="center" wrapText="1"/>
    </xf>
    <xf numFmtId="164" fontId="3" fillId="7" borderId="0" xfId="1" applyNumberFormat="1" applyFont="1" applyFill="1" applyBorder="1" applyAlignment="1">
      <alignment horizontal="center" vertical="center" wrapText="1"/>
    </xf>
    <xf numFmtId="164" fontId="3" fillId="8" borderId="0" xfId="1" applyNumberFormat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 wrapText="1"/>
    </xf>
    <xf numFmtId="1" fontId="3" fillId="8" borderId="0" xfId="1" applyNumberFormat="1" applyFont="1" applyFill="1" applyBorder="1" applyAlignment="1">
      <alignment horizontal="center" vertical="center" wrapText="1"/>
    </xf>
    <xf numFmtId="165" fontId="3" fillId="8" borderId="0" xfId="2" applyNumberFormat="1" applyFont="1" applyFill="1" applyBorder="1" applyAlignment="1">
      <alignment horizontal="center" vertical="center" wrapText="1"/>
    </xf>
    <xf numFmtId="8" fontId="3" fillId="8" borderId="0" xfId="1" applyNumberFormat="1" applyFont="1" applyFill="1" applyBorder="1" applyAlignment="1">
      <alignment horizontal="center" vertical="center" wrapText="1"/>
    </xf>
    <xf numFmtId="3" fontId="3" fillId="8" borderId="0" xfId="1" applyNumberFormat="1" applyFont="1" applyFill="1" applyBorder="1" applyAlignment="1">
      <alignment horizontal="center" vertical="center" wrapText="1"/>
    </xf>
    <xf numFmtId="2" fontId="3" fillId="6" borderId="0" xfId="2" applyNumberFormat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/>
    </xf>
    <xf numFmtId="3" fontId="3" fillId="6" borderId="0" xfId="1" applyNumberFormat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 wrapText="1"/>
    </xf>
    <xf numFmtId="164" fontId="5" fillId="8" borderId="0" xfId="1" applyNumberFormat="1" applyFont="1" applyFill="1" applyBorder="1" applyAlignment="1">
      <alignment horizontal="center" vertical="center"/>
    </xf>
    <xf numFmtId="166" fontId="3" fillId="8" borderId="0" xfId="1" applyNumberFormat="1" applyFont="1" applyFill="1" applyBorder="1" applyAlignment="1">
      <alignment horizontal="center" vertical="center" wrapText="1"/>
    </xf>
    <xf numFmtId="3" fontId="3" fillId="8" borderId="0" xfId="1" applyNumberFormat="1" applyFont="1" applyFill="1" applyBorder="1" applyAlignment="1">
      <alignment horizontal="center" vertical="center"/>
    </xf>
    <xf numFmtId="2" fontId="3" fillId="8" borderId="0" xfId="2" applyNumberFormat="1" applyFont="1" applyFill="1" applyBorder="1" applyAlignment="1">
      <alignment horizontal="center" vertical="center" wrapText="1"/>
    </xf>
    <xf numFmtId="164" fontId="5" fillId="6" borderId="0" xfId="1" applyNumberFormat="1" applyFont="1" applyFill="1" applyBorder="1" applyAlignment="1">
      <alignment horizontal="center" vertical="center"/>
    </xf>
    <xf numFmtId="164" fontId="3" fillId="8" borderId="0" xfId="3" applyNumberFormat="1" applyFont="1" applyFill="1" applyBorder="1" applyAlignment="1">
      <alignment horizontal="center" vertical="center" wrapText="1"/>
    </xf>
    <xf numFmtId="1" fontId="3" fillId="8" borderId="0" xfId="1" applyNumberFormat="1" applyFont="1" applyFill="1" applyBorder="1" applyAlignment="1">
      <alignment horizontal="center" vertical="center"/>
    </xf>
    <xf numFmtId="1" fontId="3" fillId="6" borderId="0" xfId="1" applyNumberFormat="1" applyFont="1" applyFill="1" applyBorder="1" applyAlignment="1">
      <alignment horizontal="center" vertical="center"/>
    </xf>
    <xf numFmtId="167" fontId="3" fillId="6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/>
    <xf numFmtId="0" fontId="5" fillId="0" borderId="0" xfId="1" applyFont="1" applyBorder="1"/>
    <xf numFmtId="0" fontId="3" fillId="10" borderId="0" xfId="1" applyFont="1" applyFill="1" applyBorder="1" applyAlignment="1">
      <alignment horizontal="center" vertical="center"/>
    </xf>
    <xf numFmtId="9" fontId="3" fillId="10" borderId="0" xfId="2" applyFont="1" applyFill="1" applyBorder="1" applyAlignment="1">
      <alignment horizontal="center" vertical="center"/>
    </xf>
    <xf numFmtId="164" fontId="3" fillId="10" borderId="0" xfId="3" applyNumberFormat="1" applyFont="1" applyFill="1" applyBorder="1" applyAlignment="1">
      <alignment horizontal="center" vertical="center"/>
    </xf>
    <xf numFmtId="164" fontId="5" fillId="10" borderId="0" xfId="3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7" fontId="3" fillId="8" borderId="0" xfId="1" applyNumberFormat="1" applyFont="1" applyFill="1" applyBorder="1" applyAlignment="1">
      <alignment horizontal="center" vertical="center" wrapText="1"/>
    </xf>
    <xf numFmtId="164" fontId="10" fillId="5" borderId="0" xfId="1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left" vertical="center" wrapText="1"/>
    </xf>
    <xf numFmtId="9" fontId="3" fillId="10" borderId="0" xfId="4" applyFont="1" applyFill="1" applyBorder="1" applyAlignment="1">
      <alignment horizontal="center" vertical="center"/>
    </xf>
    <xf numFmtId="0" fontId="13" fillId="4" borderId="3" xfId="5" applyFont="1" applyFill="1" applyBorder="1" applyAlignment="1">
      <alignment horizontal="left" wrapText="1"/>
    </xf>
    <xf numFmtId="0" fontId="9" fillId="4" borderId="3" xfId="5" applyFont="1" applyFill="1" applyBorder="1" applyAlignment="1">
      <alignment horizontal="left" vertical="center" wrapText="1"/>
    </xf>
    <xf numFmtId="0" fontId="3" fillId="4" borderId="3" xfId="5" applyFont="1" applyFill="1" applyBorder="1" applyAlignment="1">
      <alignment horizontal="left" vertical="center" wrapText="1"/>
    </xf>
    <xf numFmtId="0" fontId="3" fillId="4" borderId="3" xfId="5" applyFont="1" applyFill="1" applyBorder="1" applyAlignment="1">
      <alignment horizontal="left" wrapText="1"/>
    </xf>
    <xf numFmtId="0" fontId="11" fillId="11" borderId="5" xfId="5" applyFont="1" applyFill="1" applyBorder="1"/>
    <xf numFmtId="0" fontId="3" fillId="2" borderId="2" xfId="1" applyFont="1" applyFill="1" applyBorder="1" applyAlignment="1">
      <alignment horizontal="center" vertical="center"/>
    </xf>
    <xf numFmtId="0" fontId="3" fillId="10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/>
    </xf>
    <xf numFmtId="166" fontId="3" fillId="3" borderId="7" xfId="1" applyNumberFormat="1" applyFont="1" applyFill="1" applyBorder="1" applyAlignment="1">
      <alignment horizontal="center" vertical="center" wrapText="1"/>
    </xf>
    <xf numFmtId="9" fontId="3" fillId="3" borderId="7" xfId="2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wrapText="1"/>
    </xf>
    <xf numFmtId="164" fontId="3" fillId="3" borderId="7" xfId="3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3" fontId="12" fillId="4" borderId="0" xfId="1" applyNumberFormat="1" applyFont="1" applyFill="1" applyBorder="1" applyAlignment="1">
      <alignment horizontal="center" vertical="center"/>
    </xf>
    <xf numFmtId="3" fontId="12" fillId="5" borderId="0" xfId="1" applyNumberFormat="1" applyFont="1" applyFill="1" applyBorder="1" applyAlignment="1">
      <alignment horizontal="center" vertical="center"/>
    </xf>
    <xf numFmtId="3" fontId="12" fillId="8" borderId="0" xfId="1" applyNumberFormat="1" applyFont="1" applyFill="1" applyBorder="1" applyAlignment="1">
      <alignment horizontal="center" vertical="center"/>
    </xf>
    <xf numFmtId="3" fontId="12" fillId="6" borderId="0" xfId="1" applyNumberFormat="1" applyFont="1" applyFill="1" applyBorder="1" applyAlignment="1">
      <alignment horizontal="center" vertical="center"/>
    </xf>
    <xf numFmtId="3" fontId="12" fillId="8" borderId="0" xfId="1" applyNumberFormat="1" applyFont="1" applyFill="1" applyBorder="1" applyAlignment="1">
      <alignment horizontal="center" vertical="center" wrapText="1"/>
    </xf>
    <xf numFmtId="3" fontId="12" fillId="6" borderId="0" xfId="1" applyNumberFormat="1" applyFont="1" applyFill="1" applyBorder="1" applyAlignment="1">
      <alignment horizontal="center" vertical="center" wrapText="1"/>
    </xf>
    <xf numFmtId="1" fontId="12" fillId="8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7" xfId="1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wrapText="1" indent="1"/>
    </xf>
    <xf numFmtId="0" fontId="3" fillId="4" borderId="3" xfId="1" applyFont="1" applyFill="1" applyBorder="1" applyAlignment="1">
      <alignment horizontal="left" vertical="center" wrapText="1"/>
    </xf>
    <xf numFmtId="164" fontId="3" fillId="5" borderId="7" xfId="1" applyNumberFormat="1" applyFont="1" applyFill="1" applyBorder="1" applyAlignment="1">
      <alignment horizontal="center" vertical="center"/>
    </xf>
    <xf numFmtId="0" fontId="5" fillId="14" borderId="10" xfId="5" applyFont="1" applyFill="1" applyBorder="1" applyAlignment="1">
      <alignment horizontal="left" wrapText="1"/>
    </xf>
    <xf numFmtId="0" fontId="5" fillId="6" borderId="7" xfId="1" applyFont="1" applyFill="1" applyBorder="1" applyAlignment="1">
      <alignment horizontal="center" vertical="center"/>
    </xf>
    <xf numFmtId="14" fontId="3" fillId="8" borderId="3" xfId="5" applyNumberFormat="1" applyFont="1" applyFill="1" applyBorder="1" applyAlignment="1">
      <alignment horizontal="left" wrapText="1" indent="1"/>
    </xf>
    <xf numFmtId="0" fontId="7" fillId="6" borderId="7" xfId="1" applyFont="1" applyFill="1" applyBorder="1" applyAlignment="1">
      <alignment horizontal="center" vertical="center" wrapText="1"/>
    </xf>
    <xf numFmtId="0" fontId="14" fillId="8" borderId="11" xfId="5" applyFont="1" applyFill="1" applyBorder="1" applyAlignment="1">
      <alignment horizontal="left" wrapText="1" indent="1"/>
    </xf>
    <xf numFmtId="0" fontId="3" fillId="7" borderId="3" xfId="5" applyFont="1" applyFill="1" applyBorder="1" applyAlignment="1">
      <alignment horizontal="left" wrapText="1" indent="2"/>
    </xf>
    <xf numFmtId="0" fontId="3" fillId="8" borderId="3" xfId="5" applyFont="1" applyFill="1" applyBorder="1" applyAlignment="1">
      <alignment horizontal="left" wrapText="1" indent="3"/>
    </xf>
    <xf numFmtId="0" fontId="3" fillId="7" borderId="3" xfId="5" applyFont="1" applyFill="1" applyBorder="1" applyAlignment="1">
      <alignment horizontal="left" wrapText="1" indent="3"/>
    </xf>
    <xf numFmtId="0" fontId="14" fillId="15" borderId="11" xfId="0" applyFont="1" applyFill="1" applyBorder="1" applyAlignment="1">
      <alignment horizontal="left" wrapText="1" indent="1"/>
    </xf>
    <xf numFmtId="0" fontId="16" fillId="15" borderId="3" xfId="0" applyFont="1" applyFill="1" applyBorder="1" applyAlignment="1">
      <alignment horizontal="left" wrapText="1" indent="2"/>
    </xf>
    <xf numFmtId="0" fontId="16" fillId="15" borderId="3" xfId="0" applyFont="1" applyFill="1" applyBorder="1" applyAlignment="1">
      <alignment horizontal="left" wrapText="1" indent="3"/>
    </xf>
    <xf numFmtId="0" fontId="5" fillId="14" borderId="12" xfId="5" applyFont="1" applyFill="1" applyBorder="1" applyAlignment="1">
      <alignment horizontal="left" wrapText="1" indent="1"/>
    </xf>
    <xf numFmtId="0" fontId="3" fillId="6" borderId="7" xfId="1" applyFont="1" applyFill="1" applyBorder="1" applyAlignment="1">
      <alignment horizontal="center" vertical="center" wrapText="1"/>
    </xf>
    <xf numFmtId="0" fontId="15" fillId="7" borderId="11" xfId="5" applyFont="1" applyFill="1" applyBorder="1" applyAlignment="1">
      <alignment horizontal="left" wrapText="1" indent="1"/>
    </xf>
    <xf numFmtId="164" fontId="3" fillId="6" borderId="7" xfId="1" applyNumberFormat="1" applyFont="1" applyFill="1" applyBorder="1" applyAlignment="1">
      <alignment horizontal="center" vertical="center" wrapText="1"/>
    </xf>
    <xf numFmtId="0" fontId="3" fillId="7" borderId="4" xfId="5" applyFont="1" applyFill="1" applyBorder="1" applyAlignment="1">
      <alignment horizontal="left" wrapText="1" indent="3"/>
    </xf>
    <xf numFmtId="0" fontId="3" fillId="8" borderId="3" xfId="5" applyFont="1" applyFill="1" applyBorder="1" applyAlignment="1">
      <alignment horizontal="left" wrapText="1" indent="1"/>
    </xf>
    <xf numFmtId="0" fontId="15" fillId="8" borderId="11" xfId="5" applyFont="1" applyFill="1" applyBorder="1" applyAlignment="1">
      <alignment horizontal="left" wrapText="1" indent="1"/>
    </xf>
    <xf numFmtId="0" fontId="3" fillId="8" borderId="11" xfId="5" applyFont="1" applyFill="1" applyBorder="1" applyAlignment="1">
      <alignment horizontal="left" wrapText="1" indent="1"/>
    </xf>
    <xf numFmtId="0" fontId="3" fillId="8" borderId="3" xfId="5" applyFont="1" applyFill="1" applyBorder="1" applyAlignment="1">
      <alignment horizontal="left" wrapText="1" indent="2"/>
    </xf>
    <xf numFmtId="0" fontId="5" fillId="6" borderId="7" xfId="1" applyFont="1" applyFill="1" applyBorder="1" applyAlignment="1">
      <alignment horizontal="center" vertical="center" wrapText="1"/>
    </xf>
    <xf numFmtId="0" fontId="3" fillId="8" borderId="3" xfId="5" applyFont="1" applyFill="1" applyBorder="1" applyAlignment="1">
      <alignment horizontal="left" vertical="center" wrapText="1" indent="1"/>
    </xf>
    <xf numFmtId="3" fontId="3" fillId="6" borderId="7" xfId="1" applyNumberFormat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/>
    </xf>
    <xf numFmtId="0" fontId="3" fillId="8" borderId="4" xfId="5" applyFont="1" applyFill="1" applyBorder="1" applyAlignment="1">
      <alignment horizontal="left" wrapText="1" indent="2"/>
    </xf>
    <xf numFmtId="0" fontId="3" fillId="8" borderId="1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6" fillId="10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8" xfId="1" applyNumberFormat="1" applyFont="1" applyFill="1" applyBorder="1" applyAlignment="1">
      <alignment horizontal="center" vertical="center"/>
    </xf>
    <xf numFmtId="0" fontId="11" fillId="12" borderId="5" xfId="5" applyFont="1" applyFill="1" applyBorder="1"/>
    <xf numFmtId="0" fontId="3" fillId="4" borderId="2" xfId="1" applyFont="1" applyFill="1" applyBorder="1" applyAlignment="1">
      <alignment horizontal="center" vertical="center"/>
    </xf>
    <xf numFmtId="164" fontId="3" fillId="9" borderId="2" xfId="3" applyNumberFormat="1" applyFont="1" applyFill="1" applyBorder="1" applyAlignment="1">
      <alignment horizontal="center" vertical="center"/>
    </xf>
    <xf numFmtId="164" fontId="3" fillId="5" borderId="2" xfId="3" applyNumberFormat="1" applyFont="1" applyFill="1" applyBorder="1" applyAlignment="1">
      <alignment horizontal="center" vertical="center"/>
    </xf>
    <xf numFmtId="164" fontId="3" fillId="5" borderId="6" xfId="3" applyNumberFormat="1" applyFont="1" applyFill="1" applyBorder="1" applyAlignment="1">
      <alignment horizontal="center" vertical="center"/>
    </xf>
    <xf numFmtId="164" fontId="3" fillId="4" borderId="1" xfId="3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1" fillId="13" borderId="13" xfId="5" applyFont="1" applyFill="1" applyBorder="1" applyAlignment="1">
      <alignment horizontal="left" wrapText="1"/>
    </xf>
    <xf numFmtId="0" fontId="5" fillId="8" borderId="2" xfId="1" applyFont="1" applyFill="1" applyBorder="1" applyAlignment="1">
      <alignment horizontal="center" vertical="center" wrapText="1"/>
    </xf>
    <xf numFmtId="164" fontId="5" fillId="8" borderId="2" xfId="1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14" borderId="14" xfId="5" applyFont="1" applyFill="1" applyBorder="1" applyAlignment="1">
      <alignment horizontal="left" wrapText="1" indent="1"/>
    </xf>
    <xf numFmtId="0" fontId="3" fillId="8" borderId="2" xfId="1" applyFont="1" applyFill="1" applyBorder="1" applyAlignment="1">
      <alignment horizontal="center" vertical="center" wrapText="1"/>
    </xf>
    <xf numFmtId="3" fontId="3" fillId="8" borderId="2" xfId="1" applyNumberFormat="1" applyFont="1" applyFill="1" applyBorder="1" applyAlignment="1">
      <alignment horizontal="center" vertical="center" wrapText="1"/>
    </xf>
    <xf numFmtId="3" fontId="3" fillId="6" borderId="2" xfId="1" applyNumberFormat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9" fillId="8" borderId="4" xfId="5" applyFont="1" applyFill="1" applyBorder="1" applyAlignment="1">
      <alignment horizontal="left" wrapText="1" indent="1"/>
    </xf>
    <xf numFmtId="164" fontId="3" fillId="8" borderId="1" xfId="3" applyNumberFormat="1" applyFont="1" applyFill="1" applyBorder="1" applyAlignment="1">
      <alignment horizontal="center" vertical="center" wrapText="1"/>
    </xf>
    <xf numFmtId="1" fontId="3" fillId="8" borderId="1" xfId="1" applyNumberFormat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 wrapText="1"/>
    </xf>
    <xf numFmtId="0" fontId="5" fillId="14" borderId="9" xfId="5" applyFont="1" applyFill="1" applyBorder="1" applyAlignment="1">
      <alignment horizontal="left" wrapText="1"/>
    </xf>
    <xf numFmtId="164" fontId="3" fillId="8" borderId="2" xfId="3" applyNumberFormat="1" applyFont="1" applyFill="1" applyBorder="1" applyAlignment="1">
      <alignment horizontal="center" vertical="center" wrapText="1"/>
    </xf>
    <xf numFmtId="1" fontId="3" fillId="8" borderId="2" xfId="1" applyNumberFormat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164" fontId="4" fillId="8" borderId="1" xfId="3" applyNumberFormat="1" applyFont="1" applyFill="1" applyBorder="1" applyAlignment="1">
      <alignment horizontal="center" vertical="center" wrapText="1"/>
    </xf>
    <xf numFmtId="164" fontId="3" fillId="7" borderId="2" xfId="3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12" fillId="4" borderId="0" xfId="3" applyNumberFormat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center" vertical="center"/>
    </xf>
    <xf numFmtId="0" fontId="3" fillId="10" borderId="7" xfId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3" fillId="8" borderId="15" xfId="1" applyNumberFormat="1" applyFont="1" applyFill="1" applyBorder="1" applyAlignment="1">
      <alignment horizontal="center" vertical="center"/>
    </xf>
    <xf numFmtId="164" fontId="3" fillId="6" borderId="15" xfId="1" applyNumberFormat="1" applyFont="1" applyFill="1" applyBorder="1" applyAlignment="1">
      <alignment horizontal="center" vertical="center"/>
    </xf>
    <xf numFmtId="165" fontId="5" fillId="8" borderId="0" xfId="2" applyNumberFormat="1" applyFont="1" applyFill="1" applyBorder="1" applyAlignment="1">
      <alignment horizontal="center" vertical="center" wrapText="1"/>
    </xf>
    <xf numFmtId="165" fontId="5" fillId="6" borderId="0" xfId="2" applyNumberFormat="1" applyFont="1" applyFill="1" applyBorder="1" applyAlignment="1">
      <alignment horizontal="center" vertical="center" wrapText="1"/>
    </xf>
    <xf numFmtId="165" fontId="5" fillId="6" borderId="0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top" wrapText="1"/>
    </xf>
    <xf numFmtId="0" fontId="5" fillId="14" borderId="14" xfId="5" applyFont="1" applyFill="1" applyBorder="1" applyAlignment="1">
      <alignment horizontal="left" vertical="top" wrapText="1" indent="1"/>
    </xf>
    <xf numFmtId="3" fontId="3" fillId="8" borderId="1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9" fontId="17" fillId="3" borderId="0" xfId="4" applyFont="1" applyFill="1" applyBorder="1" applyAlignment="1">
      <alignment horizontal="center" vertical="center"/>
    </xf>
    <xf numFmtId="9" fontId="17" fillId="3" borderId="7" xfId="2" applyFont="1" applyFill="1" applyBorder="1" applyAlignment="1">
      <alignment horizontal="center" vertical="center" wrapText="1"/>
    </xf>
    <xf numFmtId="166" fontId="17" fillId="10" borderId="0" xfId="1" applyNumberFormat="1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left" wrapText="1" indent="2"/>
    </xf>
    <xf numFmtId="2" fontId="3" fillId="8" borderId="0" xfId="1" applyNumberFormat="1" applyFont="1" applyFill="1" applyBorder="1" applyAlignment="1">
      <alignment horizontal="center" vertical="center"/>
    </xf>
    <xf numFmtId="2" fontId="3" fillId="6" borderId="0" xfId="1" applyNumberFormat="1" applyFont="1" applyFill="1" applyBorder="1" applyAlignment="1">
      <alignment horizontal="center" vertical="center"/>
    </xf>
    <xf numFmtId="1" fontId="12" fillId="6" borderId="0" xfId="1" applyNumberFormat="1" applyFont="1" applyFill="1" applyBorder="1" applyAlignment="1">
      <alignment horizontal="center" vertical="center"/>
    </xf>
    <xf numFmtId="1" fontId="12" fillId="8" borderId="1" xfId="1" applyNumberFormat="1" applyFont="1" applyFill="1" applyBorder="1" applyAlignment="1">
      <alignment horizontal="center" vertical="center"/>
    </xf>
    <xf numFmtId="1" fontId="12" fillId="6" borderId="1" xfId="1" applyNumberFormat="1" applyFont="1" applyFill="1" applyBorder="1" applyAlignment="1">
      <alignment horizontal="center" vertical="center"/>
    </xf>
    <xf numFmtId="3" fontId="5" fillId="8" borderId="0" xfId="1" applyNumberFormat="1" applyFont="1" applyFill="1" applyBorder="1" applyAlignment="1">
      <alignment horizontal="center" vertical="center"/>
    </xf>
    <xf numFmtId="3" fontId="5" fillId="6" borderId="0" xfId="1" applyNumberFormat="1" applyFont="1" applyFill="1" applyBorder="1" applyAlignment="1">
      <alignment horizontal="center" vertical="center"/>
    </xf>
    <xf numFmtId="164" fontId="5" fillId="2" borderId="0" xfId="3" applyNumberFormat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10" borderId="0" xfId="1" applyFont="1" applyFill="1" applyBorder="1" applyAlignment="1">
      <alignment horizontal="center" vertical="center"/>
    </xf>
    <xf numFmtId="0" fontId="20" fillId="10" borderId="7" xfId="1" applyFont="1" applyFill="1" applyBorder="1" applyAlignment="1">
      <alignment horizontal="center" vertical="center"/>
    </xf>
    <xf numFmtId="166" fontId="21" fillId="8" borderId="0" xfId="1" applyNumberFormat="1" applyFont="1" applyFill="1" applyBorder="1" applyAlignment="1">
      <alignment horizontal="center" vertical="center" wrapText="1"/>
    </xf>
    <xf numFmtId="166" fontId="21" fillId="6" borderId="0" xfId="1" applyNumberFormat="1" applyFont="1" applyFill="1" applyBorder="1" applyAlignment="1">
      <alignment horizontal="center" vertical="center" wrapText="1"/>
    </xf>
    <xf numFmtId="166" fontId="21" fillId="8" borderId="1" xfId="1" applyNumberFormat="1" applyFont="1" applyFill="1" applyBorder="1" applyAlignment="1">
      <alignment horizontal="center" vertical="center" wrapText="1"/>
    </xf>
    <xf numFmtId="166" fontId="21" fillId="6" borderId="1" xfId="1" applyNumberFormat="1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6" xfId="1" applyFont="1" applyBorder="1" applyAlignment="1">
      <alignment horizontal="center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Процентный" xfId="4" builtinId="5"/>
    <cellStyle name="Процентный 2" xfId="2" xr:uid="{00000000-0005-0000-0000-000004000000}"/>
    <cellStyle name="Процентный 2 2" xfId="6" xr:uid="{00000000-0005-0000-0000-000005000000}"/>
    <cellStyle name="Финансовый 2" xfId="3" xr:uid="{00000000-0005-0000-0000-000006000000}"/>
    <cellStyle name="Финансовый 2 2" xfId="7" xr:uid="{00000000-0005-0000-0000-000007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G33" sqref="G33"/>
    </sheetView>
  </sheetViews>
  <sheetFormatPr baseColWidth="10" defaultColWidth="9.7109375" defaultRowHeight="14" x14ac:dyDescent="0.15"/>
  <cols>
    <col min="1" max="1" width="47.42578125" style="1" customWidth="1"/>
    <col min="2" max="2" width="10.5703125" style="49" customWidth="1"/>
    <col min="3" max="3" width="9.28515625" style="49" customWidth="1"/>
    <col min="4" max="4" width="10.28515625" style="49" customWidth="1"/>
    <col min="5" max="5" width="11.42578125" style="49" customWidth="1"/>
    <col min="6" max="6" width="10.7109375" style="49" customWidth="1"/>
    <col min="7" max="7" width="10.5703125" style="49" customWidth="1"/>
    <col min="8" max="9" width="11.42578125" style="49" customWidth="1"/>
    <col min="10" max="10" width="11.140625" style="49" customWidth="1"/>
    <col min="11" max="11" width="10.85546875" style="49" customWidth="1"/>
    <col min="12" max="12" width="10" style="49" customWidth="1"/>
    <col min="13" max="16384" width="9.7109375" style="1"/>
  </cols>
  <sheetData>
    <row r="1" spans="1:13" x14ac:dyDescent="0.15">
      <c r="A1" s="183" t="s">
        <v>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3" s="2" customFormat="1" ht="31" thickBot="1" x14ac:dyDescent="0.2">
      <c r="A2" s="78"/>
      <c r="B2" s="77">
        <v>2015</v>
      </c>
      <c r="C2" s="77">
        <v>2016</v>
      </c>
      <c r="D2" s="77">
        <v>2017</v>
      </c>
      <c r="E2" s="77">
        <v>2018</v>
      </c>
      <c r="F2" s="77">
        <v>2019</v>
      </c>
      <c r="G2" s="77">
        <v>2020</v>
      </c>
      <c r="H2" s="77">
        <v>2021</v>
      </c>
      <c r="I2" s="77">
        <v>2022</v>
      </c>
      <c r="J2" s="77" t="s">
        <v>2</v>
      </c>
      <c r="K2" s="77" t="s">
        <v>1</v>
      </c>
      <c r="L2" s="79" t="s">
        <v>0</v>
      </c>
    </row>
    <row r="3" spans="1:13" s="2" customFormat="1" ht="15" thickBot="1" x14ac:dyDescent="0.2">
      <c r="A3" s="58" t="s">
        <v>3</v>
      </c>
      <c r="B3" s="59"/>
      <c r="C3" s="59"/>
      <c r="D3" s="59"/>
      <c r="E3" s="59"/>
      <c r="F3" s="59"/>
      <c r="G3" s="59"/>
      <c r="H3" s="59"/>
      <c r="I3" s="60"/>
      <c r="J3" s="60"/>
      <c r="K3" s="60"/>
      <c r="L3" s="149"/>
    </row>
    <row r="4" spans="1:13" s="2" customFormat="1" ht="31" thickTop="1" x14ac:dyDescent="0.15">
      <c r="A4" s="61" t="s">
        <v>6</v>
      </c>
      <c r="B4" s="68">
        <v>3500</v>
      </c>
      <c r="C4" s="11">
        <f t="shared" ref="C4:L4" si="0">B4</f>
        <v>3500</v>
      </c>
      <c r="D4" s="11">
        <f t="shared" si="0"/>
        <v>3500</v>
      </c>
      <c r="E4" s="11">
        <f t="shared" si="0"/>
        <v>3500</v>
      </c>
      <c r="F4" s="11">
        <f t="shared" si="0"/>
        <v>3500</v>
      </c>
      <c r="G4" s="11">
        <f t="shared" si="0"/>
        <v>3500</v>
      </c>
      <c r="H4" s="11">
        <f t="shared" si="0"/>
        <v>3500</v>
      </c>
      <c r="I4" s="44">
        <f t="shared" si="0"/>
        <v>3500</v>
      </c>
      <c r="J4" s="44">
        <f t="shared" si="0"/>
        <v>3500</v>
      </c>
      <c r="K4" s="44">
        <f t="shared" si="0"/>
        <v>3500</v>
      </c>
      <c r="L4" s="150">
        <f t="shared" si="0"/>
        <v>3500</v>
      </c>
      <c r="M4" s="3"/>
    </row>
    <row r="5" spans="1:13" s="2" customFormat="1" ht="15" x14ac:dyDescent="0.15">
      <c r="A5" s="52" t="s">
        <v>30</v>
      </c>
      <c r="B5" s="175">
        <v>33</v>
      </c>
      <c r="C5" s="176">
        <f t="shared" ref="C5:L7" si="1">B5</f>
        <v>33</v>
      </c>
      <c r="D5" s="176">
        <f t="shared" si="1"/>
        <v>33</v>
      </c>
      <c r="E5" s="176">
        <f t="shared" si="1"/>
        <v>33</v>
      </c>
      <c r="F5" s="176">
        <f t="shared" si="1"/>
        <v>33</v>
      </c>
      <c r="G5" s="176">
        <f t="shared" si="1"/>
        <v>33</v>
      </c>
      <c r="H5" s="176">
        <f t="shared" si="1"/>
        <v>33</v>
      </c>
      <c r="I5" s="177">
        <f t="shared" si="1"/>
        <v>33</v>
      </c>
      <c r="J5" s="177">
        <f t="shared" si="1"/>
        <v>33</v>
      </c>
      <c r="K5" s="177">
        <f t="shared" si="1"/>
        <v>33</v>
      </c>
      <c r="L5" s="178">
        <f t="shared" si="1"/>
        <v>33</v>
      </c>
      <c r="M5" s="3"/>
    </row>
    <row r="6" spans="1:13" s="2" customFormat="1" ht="15" x14ac:dyDescent="0.15">
      <c r="A6" s="52" t="s">
        <v>7</v>
      </c>
      <c r="B6" s="175">
        <v>45</v>
      </c>
      <c r="C6" s="176">
        <f>B6</f>
        <v>45</v>
      </c>
      <c r="D6" s="176">
        <f t="shared" si="1"/>
        <v>45</v>
      </c>
      <c r="E6" s="176">
        <f t="shared" si="1"/>
        <v>45</v>
      </c>
      <c r="F6" s="176">
        <f t="shared" si="1"/>
        <v>45</v>
      </c>
      <c r="G6" s="176">
        <f t="shared" si="1"/>
        <v>45</v>
      </c>
      <c r="H6" s="176">
        <f t="shared" si="1"/>
        <v>45</v>
      </c>
      <c r="I6" s="177">
        <f t="shared" si="1"/>
        <v>45</v>
      </c>
      <c r="J6" s="177">
        <f t="shared" ref="J6:L7" si="2">I6</f>
        <v>45</v>
      </c>
      <c r="K6" s="177">
        <f t="shared" si="2"/>
        <v>45</v>
      </c>
      <c r="L6" s="178">
        <f t="shared" si="2"/>
        <v>45</v>
      </c>
      <c r="M6" s="3"/>
    </row>
    <row r="7" spans="1:13" s="2" customFormat="1" ht="15" x14ac:dyDescent="0.15">
      <c r="A7" s="52" t="s">
        <v>8</v>
      </c>
      <c r="B7" s="175">
        <v>56</v>
      </c>
      <c r="C7" s="176">
        <f>B7</f>
        <v>56</v>
      </c>
      <c r="D7" s="176">
        <f t="shared" si="1"/>
        <v>56</v>
      </c>
      <c r="E7" s="176">
        <f t="shared" si="1"/>
        <v>56</v>
      </c>
      <c r="F7" s="176">
        <f t="shared" si="1"/>
        <v>56</v>
      </c>
      <c r="G7" s="176">
        <f t="shared" si="1"/>
        <v>56</v>
      </c>
      <c r="H7" s="176">
        <f t="shared" si="1"/>
        <v>56</v>
      </c>
      <c r="I7" s="177">
        <f t="shared" si="1"/>
        <v>56</v>
      </c>
      <c r="J7" s="177">
        <f t="shared" si="2"/>
        <v>56</v>
      </c>
      <c r="K7" s="177">
        <f t="shared" si="2"/>
        <v>56</v>
      </c>
      <c r="L7" s="178">
        <f t="shared" si="2"/>
        <v>56</v>
      </c>
      <c r="M7" s="3"/>
    </row>
    <row r="8" spans="1:13" s="2" customFormat="1" x14ac:dyDescent="0.15">
      <c r="A8" s="62" t="s">
        <v>9</v>
      </c>
      <c r="B8" s="69">
        <v>7.3</v>
      </c>
      <c r="C8" s="69">
        <v>7.3</v>
      </c>
      <c r="D8" s="69">
        <v>7.3</v>
      </c>
      <c r="E8" s="69">
        <v>7.3</v>
      </c>
      <c r="F8" s="69">
        <v>7.3</v>
      </c>
      <c r="G8" s="69">
        <v>8.6999999999999993</v>
      </c>
      <c r="H8" s="69">
        <v>8.6999999999999993</v>
      </c>
      <c r="I8" s="165">
        <f t="shared" ref="I8:L8" si="3">H8*I9</f>
        <v>9.048</v>
      </c>
      <c r="J8" s="12">
        <f t="shared" si="3"/>
        <v>9.4099199999999996</v>
      </c>
      <c r="K8" s="12">
        <f t="shared" si="3"/>
        <v>9.7863167999999998</v>
      </c>
      <c r="L8" s="63">
        <f t="shared" si="3"/>
        <v>10.177769472</v>
      </c>
      <c r="M8" s="3"/>
    </row>
    <row r="9" spans="1:13" s="2" customFormat="1" x14ac:dyDescent="0.15">
      <c r="A9" s="62" t="s">
        <v>10</v>
      </c>
      <c r="B9" s="13"/>
      <c r="C9" s="11"/>
      <c r="D9" s="11"/>
      <c r="E9" s="11"/>
      <c r="F9" s="11"/>
      <c r="G9" s="11"/>
      <c r="H9" s="13">
        <v>1.04</v>
      </c>
      <c r="I9" s="45">
        <v>1.04</v>
      </c>
      <c r="J9" s="14">
        <v>1.04</v>
      </c>
      <c r="K9" s="14">
        <v>1.04</v>
      </c>
      <c r="L9" s="64">
        <v>1.04</v>
      </c>
      <c r="M9" s="3"/>
    </row>
    <row r="10" spans="1:13" s="2" customFormat="1" ht="15" x14ac:dyDescent="0.15">
      <c r="A10" s="65" t="s">
        <v>11</v>
      </c>
      <c r="B10" s="15">
        <f t="shared" ref="B10:L10" si="4">B4*B8*12</f>
        <v>306600</v>
      </c>
      <c r="C10" s="15">
        <f t="shared" si="4"/>
        <v>306600</v>
      </c>
      <c r="D10" s="15">
        <f t="shared" si="4"/>
        <v>306600</v>
      </c>
      <c r="E10" s="15">
        <f t="shared" si="4"/>
        <v>306600</v>
      </c>
      <c r="F10" s="15">
        <f t="shared" si="4"/>
        <v>306600</v>
      </c>
      <c r="G10" s="15">
        <f t="shared" si="4"/>
        <v>365399.99999999994</v>
      </c>
      <c r="H10" s="15">
        <f t="shared" si="4"/>
        <v>365399.99999999994</v>
      </c>
      <c r="I10" s="46">
        <f t="shared" si="4"/>
        <v>380016</v>
      </c>
      <c r="J10" s="16">
        <f t="shared" si="4"/>
        <v>395216.64000000001</v>
      </c>
      <c r="K10" s="16">
        <f t="shared" si="4"/>
        <v>411025.30560000002</v>
      </c>
      <c r="L10" s="66">
        <f t="shared" si="4"/>
        <v>427466.31782400003</v>
      </c>
      <c r="M10" s="3"/>
    </row>
    <row r="11" spans="1:13" s="2" customFormat="1" ht="15" x14ac:dyDescent="0.15">
      <c r="A11" s="61" t="s">
        <v>12</v>
      </c>
      <c r="B11" s="174">
        <v>275940</v>
      </c>
      <c r="C11" s="174">
        <v>285138</v>
      </c>
      <c r="D11" s="174">
        <v>291270</v>
      </c>
      <c r="E11" s="174">
        <v>294336</v>
      </c>
      <c r="F11" s="174">
        <v>297402</v>
      </c>
      <c r="G11" s="174">
        <v>354438</v>
      </c>
      <c r="H11" s="174">
        <v>358092</v>
      </c>
      <c r="I11" s="46">
        <f>I10*I13</f>
        <v>372415.68</v>
      </c>
      <c r="J11" s="16">
        <f>J10*J13</f>
        <v>387312.30719999998</v>
      </c>
      <c r="K11" s="16">
        <f>K10*K13</f>
        <v>402804.79948799999</v>
      </c>
      <c r="L11" s="66">
        <f>L10*L13</f>
        <v>418916.99146752001</v>
      </c>
      <c r="M11" s="3"/>
    </row>
    <row r="12" spans="1:13" s="2" customFormat="1" ht="16" customHeight="1" x14ac:dyDescent="0.15">
      <c r="A12" s="61" t="s">
        <v>13</v>
      </c>
      <c r="B12" s="15">
        <f t="shared" ref="B12:L12" si="5">B10-B11</f>
        <v>30660</v>
      </c>
      <c r="C12" s="15">
        <f t="shared" si="5"/>
        <v>21462</v>
      </c>
      <c r="D12" s="15">
        <f t="shared" si="5"/>
        <v>15330</v>
      </c>
      <c r="E12" s="15">
        <f t="shared" si="5"/>
        <v>12264</v>
      </c>
      <c r="F12" s="15">
        <f t="shared" si="5"/>
        <v>9198</v>
      </c>
      <c r="G12" s="15">
        <f t="shared" si="5"/>
        <v>10961.999999999942</v>
      </c>
      <c r="H12" s="15">
        <f t="shared" si="5"/>
        <v>7307.9999999999418</v>
      </c>
      <c r="I12" s="46">
        <f t="shared" si="5"/>
        <v>7600.320000000007</v>
      </c>
      <c r="J12" s="16">
        <f t="shared" si="5"/>
        <v>7904.3328000000329</v>
      </c>
      <c r="K12" s="16">
        <f t="shared" si="5"/>
        <v>8220.5061120000319</v>
      </c>
      <c r="L12" s="66">
        <f t="shared" si="5"/>
        <v>8549.3263564800145</v>
      </c>
      <c r="M12" s="3"/>
    </row>
    <row r="13" spans="1:13" s="2" customFormat="1" ht="15" x14ac:dyDescent="0.15">
      <c r="A13" s="65" t="s">
        <v>31</v>
      </c>
      <c r="B13" s="53">
        <f t="shared" ref="B13:H13" si="6">B11/B10</f>
        <v>0.9</v>
      </c>
      <c r="C13" s="53">
        <f t="shared" si="6"/>
        <v>0.93</v>
      </c>
      <c r="D13" s="53">
        <f t="shared" si="6"/>
        <v>0.95</v>
      </c>
      <c r="E13" s="53">
        <f t="shared" si="6"/>
        <v>0.96</v>
      </c>
      <c r="F13" s="53">
        <f t="shared" si="6"/>
        <v>0.97</v>
      </c>
      <c r="G13" s="53">
        <f t="shared" si="6"/>
        <v>0.9700000000000002</v>
      </c>
      <c r="H13" s="53">
        <f t="shared" si="6"/>
        <v>0.9800000000000002</v>
      </c>
      <c r="I13" s="163">
        <v>0.98</v>
      </c>
      <c r="J13" s="163">
        <v>0.98</v>
      </c>
      <c r="K13" s="163">
        <v>0.98</v>
      </c>
      <c r="L13" s="164">
        <v>0.98</v>
      </c>
      <c r="M13" s="3"/>
    </row>
    <row r="14" spans="1:13" s="2" customFormat="1" ht="45" x14ac:dyDescent="0.15">
      <c r="A14" s="61" t="s">
        <v>39</v>
      </c>
      <c r="B14" s="17"/>
      <c r="C14" s="17"/>
      <c r="D14" s="17"/>
      <c r="E14" s="17"/>
      <c r="F14" s="17"/>
      <c r="G14" s="17"/>
      <c r="H14" s="15"/>
      <c r="I14" s="47">
        <v>4108757</v>
      </c>
      <c r="J14" s="16"/>
      <c r="K14" s="18"/>
      <c r="L14" s="66"/>
      <c r="M14" s="3"/>
    </row>
    <row r="15" spans="1:13" s="2" customFormat="1" ht="31" thickBot="1" x14ac:dyDescent="0.2">
      <c r="A15" s="67" t="s">
        <v>4</v>
      </c>
      <c r="B15" s="111"/>
      <c r="C15" s="111"/>
      <c r="D15" s="111"/>
      <c r="E15" s="111"/>
      <c r="F15" s="111"/>
      <c r="G15" s="111"/>
      <c r="H15" s="112">
        <v>1.08</v>
      </c>
      <c r="I15" s="113">
        <v>1.1299999999999999</v>
      </c>
      <c r="J15" s="114">
        <v>1.17</v>
      </c>
      <c r="K15" s="114">
        <v>1.22</v>
      </c>
      <c r="L15" s="115">
        <v>1.27</v>
      </c>
      <c r="M15" s="3"/>
    </row>
    <row r="16" spans="1:13" s="2" customFormat="1" ht="15" thickBot="1" x14ac:dyDescent="0.2">
      <c r="A16" s="116" t="s">
        <v>5</v>
      </c>
      <c r="B16" s="117"/>
      <c r="C16" s="117"/>
      <c r="D16" s="117"/>
      <c r="E16" s="117"/>
      <c r="F16" s="117"/>
      <c r="G16" s="117"/>
      <c r="H16" s="117"/>
      <c r="I16" s="118"/>
      <c r="J16" s="119"/>
      <c r="K16" s="119"/>
      <c r="L16" s="120"/>
      <c r="M16" s="3"/>
    </row>
    <row r="17" spans="1:13" s="2" customFormat="1" ht="16" thickTop="1" x14ac:dyDescent="0.15">
      <c r="A17" s="54" t="s">
        <v>14</v>
      </c>
      <c r="B17" s="21"/>
      <c r="C17" s="21"/>
      <c r="D17" s="21"/>
      <c r="E17" s="21"/>
      <c r="F17" s="21"/>
      <c r="G17" s="21"/>
      <c r="H17" s="21"/>
      <c r="I17" s="19"/>
      <c r="J17" s="51"/>
      <c r="K17" s="51"/>
      <c r="L17" s="80"/>
      <c r="M17" s="3"/>
    </row>
    <row r="18" spans="1:13" s="2" customFormat="1" ht="15" x14ac:dyDescent="0.15">
      <c r="A18" s="81" t="s">
        <v>15</v>
      </c>
      <c r="B18" s="148">
        <f>B5*B8</f>
        <v>240.9</v>
      </c>
      <c r="C18" s="148">
        <f t="shared" ref="C18:H18" si="7">C5*C8</f>
        <v>240.9</v>
      </c>
      <c r="D18" s="148">
        <f t="shared" si="7"/>
        <v>240.9</v>
      </c>
      <c r="E18" s="148">
        <f t="shared" si="7"/>
        <v>240.9</v>
      </c>
      <c r="F18" s="148">
        <f t="shared" si="7"/>
        <v>240.9</v>
      </c>
      <c r="G18" s="148">
        <f t="shared" si="7"/>
        <v>287.09999999999997</v>
      </c>
      <c r="H18" s="148">
        <f t="shared" si="7"/>
        <v>287.09999999999997</v>
      </c>
      <c r="I18" s="70">
        <f>I8*I5</f>
        <v>298.584</v>
      </c>
      <c r="J18" s="71">
        <f>J8*J5</f>
        <v>310.52735999999999</v>
      </c>
      <c r="K18" s="71">
        <f>K8*K5</f>
        <v>322.9484544</v>
      </c>
      <c r="L18" s="80"/>
      <c r="M18" s="3"/>
    </row>
    <row r="19" spans="1:13" s="2" customFormat="1" ht="15" x14ac:dyDescent="0.15">
      <c r="A19" s="81" t="s">
        <v>37</v>
      </c>
      <c r="B19" s="148">
        <f>B6*B8</f>
        <v>328.5</v>
      </c>
      <c r="C19" s="148">
        <f t="shared" ref="C19:H19" si="8">C6*C8</f>
        <v>328.5</v>
      </c>
      <c r="D19" s="148">
        <f t="shared" si="8"/>
        <v>328.5</v>
      </c>
      <c r="E19" s="148">
        <f t="shared" si="8"/>
        <v>328.5</v>
      </c>
      <c r="F19" s="148">
        <f t="shared" si="8"/>
        <v>328.5</v>
      </c>
      <c r="G19" s="148">
        <f t="shared" si="8"/>
        <v>391.49999999999994</v>
      </c>
      <c r="H19" s="148">
        <f t="shared" si="8"/>
        <v>391.49999999999994</v>
      </c>
      <c r="I19" s="70">
        <f>I8*I6</f>
        <v>407.16</v>
      </c>
      <c r="J19" s="71">
        <f>J8*J6</f>
        <v>423.44639999999998</v>
      </c>
      <c r="K19" s="71">
        <f>K8*K6</f>
        <v>440.38425599999999</v>
      </c>
      <c r="L19" s="80"/>
      <c r="M19" s="3"/>
    </row>
    <row r="20" spans="1:13" s="2" customFormat="1" ht="15" x14ac:dyDescent="0.15">
      <c r="A20" s="81" t="s">
        <v>17</v>
      </c>
      <c r="B20" s="148">
        <f>B7*B8</f>
        <v>408.8</v>
      </c>
      <c r="C20" s="148">
        <f t="shared" ref="C20:H20" si="9">C7*C8</f>
        <v>408.8</v>
      </c>
      <c r="D20" s="148">
        <f t="shared" si="9"/>
        <v>408.8</v>
      </c>
      <c r="E20" s="148">
        <f t="shared" si="9"/>
        <v>408.8</v>
      </c>
      <c r="F20" s="148">
        <f t="shared" si="9"/>
        <v>408.8</v>
      </c>
      <c r="G20" s="148">
        <f t="shared" si="9"/>
        <v>487.19999999999993</v>
      </c>
      <c r="H20" s="148">
        <f t="shared" si="9"/>
        <v>487.19999999999993</v>
      </c>
      <c r="I20" s="70">
        <f>I8*I7</f>
        <v>506.68799999999999</v>
      </c>
      <c r="J20" s="71">
        <f>J8*J7</f>
        <v>526.95551999999998</v>
      </c>
      <c r="K20" s="71">
        <f>K8*K7</f>
        <v>548.03374080000003</v>
      </c>
      <c r="L20" s="80"/>
      <c r="M20" s="3"/>
    </row>
    <row r="21" spans="1:13" s="2" customFormat="1" ht="30" x14ac:dyDescent="0.15">
      <c r="A21" s="82" t="s">
        <v>40</v>
      </c>
      <c r="B21" s="19">
        <f t="shared" ref="B21:K21" si="10">B4*B8*B13</f>
        <v>22995</v>
      </c>
      <c r="C21" s="19">
        <f t="shared" si="10"/>
        <v>23761.5</v>
      </c>
      <c r="D21" s="19">
        <f t="shared" si="10"/>
        <v>24272.5</v>
      </c>
      <c r="E21" s="19">
        <f t="shared" si="10"/>
        <v>24528</v>
      </c>
      <c r="F21" s="19">
        <f t="shared" si="10"/>
        <v>24783.5</v>
      </c>
      <c r="G21" s="19">
        <f t="shared" si="10"/>
        <v>29536.500000000004</v>
      </c>
      <c r="H21" s="19">
        <f t="shared" si="10"/>
        <v>29841.000000000004</v>
      </c>
      <c r="I21" s="19">
        <f t="shared" si="10"/>
        <v>31034.639999999999</v>
      </c>
      <c r="J21" s="20">
        <f t="shared" si="10"/>
        <v>32276.025600000001</v>
      </c>
      <c r="K21" s="20">
        <f t="shared" si="10"/>
        <v>33567.066623999999</v>
      </c>
      <c r="L21" s="83"/>
      <c r="M21" s="3"/>
    </row>
    <row r="22" spans="1:13" s="2" customFormat="1" ht="30" x14ac:dyDescent="0.15">
      <c r="A22" s="55" t="s">
        <v>41</v>
      </c>
      <c r="B22" s="19">
        <f t="shared" ref="B22:K22" si="11">B4*B8*B13*12</f>
        <v>275940</v>
      </c>
      <c r="C22" s="19">
        <f t="shared" si="11"/>
        <v>285138</v>
      </c>
      <c r="D22" s="19">
        <f t="shared" si="11"/>
        <v>291270</v>
      </c>
      <c r="E22" s="19">
        <f t="shared" si="11"/>
        <v>294336</v>
      </c>
      <c r="F22" s="19">
        <f t="shared" si="11"/>
        <v>297402</v>
      </c>
      <c r="G22" s="19">
        <f t="shared" si="11"/>
        <v>354438.00000000006</v>
      </c>
      <c r="H22" s="19">
        <f t="shared" si="11"/>
        <v>358092.00000000006</v>
      </c>
      <c r="I22" s="19">
        <f t="shared" si="11"/>
        <v>372415.68</v>
      </c>
      <c r="J22" s="20">
        <f t="shared" si="11"/>
        <v>387312.30720000004</v>
      </c>
      <c r="K22" s="20">
        <f t="shared" si="11"/>
        <v>402804.79948799999</v>
      </c>
      <c r="L22" s="83"/>
      <c r="M22" s="3"/>
    </row>
    <row r="23" spans="1:13" s="2" customFormat="1" ht="30" x14ac:dyDescent="0.15">
      <c r="A23" s="55" t="s">
        <v>42</v>
      </c>
      <c r="B23" s="19">
        <f>B11</f>
        <v>275940</v>
      </c>
      <c r="C23" s="19">
        <f t="shared" ref="C23:K23" si="12">B23+C11</f>
        <v>561078</v>
      </c>
      <c r="D23" s="19">
        <f t="shared" si="12"/>
        <v>852348</v>
      </c>
      <c r="E23" s="19">
        <f t="shared" si="12"/>
        <v>1146684</v>
      </c>
      <c r="F23" s="19">
        <f t="shared" si="12"/>
        <v>1444086</v>
      </c>
      <c r="G23" s="19">
        <f t="shared" si="12"/>
        <v>1798524</v>
      </c>
      <c r="H23" s="19">
        <f t="shared" si="12"/>
        <v>2156616</v>
      </c>
      <c r="I23" s="19">
        <f t="shared" si="12"/>
        <v>2529031.6800000002</v>
      </c>
      <c r="J23" s="20">
        <f t="shared" si="12"/>
        <v>2916343.9872000003</v>
      </c>
      <c r="K23" s="20">
        <f t="shared" si="12"/>
        <v>3319148.7866880004</v>
      </c>
      <c r="L23" s="83"/>
      <c r="M23" s="3"/>
    </row>
    <row r="24" spans="1:13" s="2" customFormat="1" ht="30" x14ac:dyDescent="0.15">
      <c r="A24" s="82" t="s">
        <v>36</v>
      </c>
      <c r="B24" s="19">
        <f>B12</f>
        <v>30660</v>
      </c>
      <c r="C24" s="19">
        <f t="shared" ref="C24:K24" si="13">B24+C12</f>
        <v>52122</v>
      </c>
      <c r="D24" s="19">
        <f t="shared" si="13"/>
        <v>67452</v>
      </c>
      <c r="E24" s="19">
        <f t="shared" si="13"/>
        <v>79716</v>
      </c>
      <c r="F24" s="19">
        <f t="shared" si="13"/>
        <v>88914</v>
      </c>
      <c r="G24" s="19">
        <f t="shared" si="13"/>
        <v>99875.999999999942</v>
      </c>
      <c r="H24" s="19">
        <f t="shared" si="13"/>
        <v>107183.99999999988</v>
      </c>
      <c r="I24" s="19">
        <f t="shared" si="13"/>
        <v>114784.31999999989</v>
      </c>
      <c r="J24" s="20">
        <f t="shared" si="13"/>
        <v>122688.65279999992</v>
      </c>
      <c r="K24" s="20">
        <f t="shared" si="13"/>
        <v>130909.15891199996</v>
      </c>
      <c r="L24" s="83"/>
      <c r="M24" s="3"/>
    </row>
    <row r="25" spans="1:13" s="2" customFormat="1" ht="30" customHeight="1" x14ac:dyDescent="0.15">
      <c r="A25" s="56" t="s">
        <v>43</v>
      </c>
      <c r="B25" s="19">
        <f t="shared" ref="B25:H25" si="14">B23</f>
        <v>275940</v>
      </c>
      <c r="C25" s="19">
        <f t="shared" si="14"/>
        <v>561078</v>
      </c>
      <c r="D25" s="19">
        <f t="shared" si="14"/>
        <v>852348</v>
      </c>
      <c r="E25" s="19">
        <f t="shared" si="14"/>
        <v>1146684</v>
      </c>
      <c r="F25" s="19">
        <f t="shared" si="14"/>
        <v>1444086</v>
      </c>
      <c r="G25" s="19">
        <f t="shared" si="14"/>
        <v>1798524</v>
      </c>
      <c r="H25" s="19">
        <f t="shared" si="14"/>
        <v>2156616</v>
      </c>
      <c r="I25" s="19">
        <f>I23-I14</f>
        <v>-1579725.3199999998</v>
      </c>
      <c r="J25" s="20">
        <f>I25+J24</f>
        <v>-1457036.6672</v>
      </c>
      <c r="K25" s="20">
        <f>J25+K24</f>
        <v>-1326127.508288</v>
      </c>
      <c r="L25" s="83"/>
      <c r="M25" s="3"/>
    </row>
    <row r="26" spans="1:13" s="2" customFormat="1" ht="30" x14ac:dyDescent="0.15">
      <c r="A26" s="57" t="s">
        <v>44</v>
      </c>
      <c r="B26" s="21"/>
      <c r="C26" s="21"/>
      <c r="D26" s="21"/>
      <c r="E26" s="21"/>
      <c r="F26" s="21"/>
      <c r="G26" s="21"/>
      <c r="H26" s="21"/>
      <c r="I26" s="151">
        <f>IF(I14&gt;I23,I23-I14,0)</f>
        <v>-1579725.3199999998</v>
      </c>
      <c r="J26" s="51"/>
      <c r="K26" s="51"/>
      <c r="L26" s="80"/>
      <c r="M26" s="3"/>
    </row>
    <row r="27" spans="1:13" s="2" customFormat="1" ht="34.5" customHeight="1" thickBot="1" x14ac:dyDescent="0.2">
      <c r="A27" s="159" t="s">
        <v>34</v>
      </c>
      <c r="B27" s="121"/>
      <c r="C27" s="121"/>
      <c r="D27" s="121"/>
      <c r="E27" s="121"/>
      <c r="F27" s="121"/>
      <c r="G27" s="121"/>
      <c r="H27" s="121"/>
      <c r="I27" s="152">
        <f>I26+I24</f>
        <v>-1464941</v>
      </c>
      <c r="J27" s="153"/>
      <c r="K27" s="153"/>
      <c r="L27" s="122"/>
      <c r="M27" s="3"/>
    </row>
    <row r="28" spans="1:13" s="4" customFormat="1" ht="30" x14ac:dyDescent="0.15">
      <c r="A28" s="123" t="s">
        <v>18</v>
      </c>
      <c r="B28" s="124"/>
      <c r="C28" s="124"/>
      <c r="D28" s="124"/>
      <c r="E28" s="124"/>
      <c r="F28" s="124"/>
      <c r="G28" s="124"/>
      <c r="H28" s="125"/>
      <c r="I28" s="125"/>
      <c r="J28" s="126"/>
      <c r="K28" s="126"/>
      <c r="L28" s="127"/>
      <c r="M28" s="5"/>
    </row>
    <row r="29" spans="1:13" s="4" customFormat="1" ht="30" x14ac:dyDescent="0.15">
      <c r="A29" s="84" t="s">
        <v>19</v>
      </c>
      <c r="B29" s="32"/>
      <c r="C29" s="32"/>
      <c r="D29" s="32"/>
      <c r="E29" s="32"/>
      <c r="F29" s="32"/>
      <c r="G29" s="32"/>
      <c r="H29" s="33"/>
      <c r="I29" s="33"/>
      <c r="J29" s="37"/>
      <c r="K29" s="37"/>
      <c r="L29" s="85"/>
      <c r="M29" s="5"/>
    </row>
    <row r="30" spans="1:13" s="4" customFormat="1" ht="26.5" customHeight="1" x14ac:dyDescent="0.15">
      <c r="A30" s="86" t="s">
        <v>45</v>
      </c>
      <c r="B30" s="32"/>
      <c r="C30" s="32"/>
      <c r="D30" s="32"/>
      <c r="E30" s="32"/>
      <c r="F30" s="32"/>
      <c r="G30" s="32"/>
      <c r="H30" s="33"/>
      <c r="I30" s="154">
        <f>I14</f>
        <v>4108757</v>
      </c>
      <c r="J30" s="155">
        <f>I14*J15</f>
        <v>4807245.6899999995</v>
      </c>
      <c r="K30" s="155">
        <f>J30*K15</f>
        <v>5864839.741799999</v>
      </c>
      <c r="L30" s="85"/>
      <c r="M30" s="5"/>
    </row>
    <row r="31" spans="1:13" s="4" customFormat="1" ht="30" x14ac:dyDescent="0.15">
      <c r="A31" s="86" t="s">
        <v>46</v>
      </c>
      <c r="B31" s="32"/>
      <c r="C31" s="32"/>
      <c r="D31" s="32"/>
      <c r="E31" s="32"/>
      <c r="F31" s="32"/>
      <c r="G31" s="32"/>
      <c r="H31" s="33"/>
      <c r="I31" s="35">
        <f>IF(I30&gt;I23,I23-I30,0)</f>
        <v>-1579725.3199999998</v>
      </c>
      <c r="J31" s="31">
        <f>IF(J30&gt;J23,J23-J30,0)</f>
        <v>-1890901.7027999992</v>
      </c>
      <c r="K31" s="31">
        <f>IF(K30&gt;K23,K23-K30,0)</f>
        <v>-2545690.9551119986</v>
      </c>
      <c r="L31" s="85"/>
      <c r="M31" s="5"/>
    </row>
    <row r="32" spans="1:13" s="2" customFormat="1" ht="30" customHeight="1" thickBot="1" x14ac:dyDescent="0.2">
      <c r="A32" s="133" t="s">
        <v>47</v>
      </c>
      <c r="B32" s="134"/>
      <c r="C32" s="134"/>
      <c r="D32" s="134"/>
      <c r="E32" s="134"/>
      <c r="F32" s="134"/>
      <c r="G32" s="134"/>
      <c r="H32" s="134"/>
      <c r="I32" s="135">
        <f>-IF(I26&gt;0,0,I26/I21)</f>
        <v>50.902002407632239</v>
      </c>
      <c r="J32" s="136">
        <f>-IF(J31&gt;0,0,J31/J21)</f>
        <v>58.585332848416101</v>
      </c>
      <c r="K32" s="136">
        <f>-IF(K31&gt;0,0,K31/K21)</f>
        <v>75.838946060656482</v>
      </c>
      <c r="L32" s="137"/>
      <c r="M32" s="3"/>
    </row>
    <row r="33" spans="1:13" s="2" customFormat="1" ht="30" x14ac:dyDescent="0.15">
      <c r="A33" s="138" t="s">
        <v>48</v>
      </c>
      <c r="B33" s="139"/>
      <c r="C33" s="139"/>
      <c r="D33" s="139"/>
      <c r="E33" s="139"/>
      <c r="F33" s="139"/>
      <c r="G33" s="139"/>
      <c r="H33" s="139"/>
      <c r="I33" s="140"/>
      <c r="J33" s="141"/>
      <c r="K33" s="141"/>
      <c r="L33" s="142"/>
      <c r="M33" s="3"/>
    </row>
    <row r="34" spans="1:13" s="2" customFormat="1" ht="30" customHeight="1" x14ac:dyDescent="0.15">
      <c r="A34" s="88" t="s">
        <v>49</v>
      </c>
      <c r="B34" s="38"/>
      <c r="C34" s="38"/>
      <c r="D34" s="38"/>
      <c r="E34" s="38"/>
      <c r="F34" s="38"/>
      <c r="G34" s="38"/>
      <c r="H34" s="38"/>
      <c r="I34" s="39"/>
      <c r="J34" s="40"/>
      <c r="K34" s="40"/>
      <c r="L34" s="87"/>
      <c r="M34" s="3"/>
    </row>
    <row r="35" spans="1:13" s="2" customFormat="1" ht="30" customHeight="1" x14ac:dyDescent="0.15">
      <c r="A35" s="89" t="s">
        <v>50</v>
      </c>
      <c r="B35" s="38"/>
      <c r="C35" s="38"/>
      <c r="D35" s="38"/>
      <c r="E35" s="38"/>
      <c r="F35" s="38"/>
      <c r="G35" s="38"/>
      <c r="H35" s="38"/>
      <c r="I35" s="39"/>
      <c r="J35" s="40"/>
      <c r="K35" s="40"/>
      <c r="L35" s="87"/>
      <c r="M35" s="3"/>
    </row>
    <row r="36" spans="1:13" s="2" customFormat="1" ht="15" x14ac:dyDescent="0.15">
      <c r="A36" s="90" t="s">
        <v>15</v>
      </c>
      <c r="B36" s="38"/>
      <c r="C36" s="38"/>
      <c r="D36" s="38"/>
      <c r="E36" s="38"/>
      <c r="F36" s="38"/>
      <c r="G36" s="38"/>
      <c r="H36" s="38"/>
      <c r="I36" s="72">
        <f>(I8+J8)*J5</f>
        <v>609.1113600000001</v>
      </c>
      <c r="J36" s="73">
        <f>(K8+J8)*K5</f>
        <v>633.47581439999999</v>
      </c>
      <c r="K36" s="73">
        <f>(K8+L8)*L5</f>
        <v>658.81484697600001</v>
      </c>
      <c r="L36" s="87"/>
      <c r="M36" s="3"/>
    </row>
    <row r="37" spans="1:13" s="2" customFormat="1" ht="15" x14ac:dyDescent="0.15">
      <c r="A37" s="91" t="s">
        <v>16</v>
      </c>
      <c r="B37" s="38"/>
      <c r="C37" s="38"/>
      <c r="D37" s="38"/>
      <c r="E37" s="38"/>
      <c r="F37" s="38"/>
      <c r="G37" s="38"/>
      <c r="H37" s="38"/>
      <c r="I37" s="72">
        <f>(I8+J8)*J6</f>
        <v>830.60640000000012</v>
      </c>
      <c r="J37" s="73">
        <f>(K8+J8)*K6</f>
        <v>863.83065600000009</v>
      </c>
      <c r="K37" s="73">
        <f>(K8+L8)*L6</f>
        <v>898.38388223999993</v>
      </c>
      <c r="L37" s="87"/>
      <c r="M37" s="3"/>
    </row>
    <row r="38" spans="1:13" s="2" customFormat="1" ht="15" x14ac:dyDescent="0.15">
      <c r="A38" s="91" t="s">
        <v>17</v>
      </c>
      <c r="B38" s="38"/>
      <c r="C38" s="38"/>
      <c r="D38" s="38"/>
      <c r="E38" s="38"/>
      <c r="F38" s="38"/>
      <c r="G38" s="38"/>
      <c r="H38" s="38"/>
      <c r="I38" s="72">
        <f>(I8+J8)*J7</f>
        <v>1033.6435200000001</v>
      </c>
      <c r="J38" s="73">
        <f>(K8+J8)*K7</f>
        <v>1074.9892608</v>
      </c>
      <c r="K38" s="73">
        <f>(K8+L8)*L7</f>
        <v>1117.9888312319999</v>
      </c>
      <c r="L38" s="87"/>
      <c r="M38" s="3"/>
    </row>
    <row r="39" spans="1:13" s="2" customFormat="1" ht="30" x14ac:dyDescent="0.15">
      <c r="A39" s="89" t="s">
        <v>20</v>
      </c>
      <c r="B39" s="38"/>
      <c r="C39" s="38"/>
      <c r="D39" s="38"/>
      <c r="E39" s="38"/>
      <c r="F39" s="38"/>
      <c r="G39" s="38"/>
      <c r="H39" s="38"/>
      <c r="I39" s="35">
        <f>I26+(J4*J8*3)</f>
        <v>-1480921.16</v>
      </c>
      <c r="J39" s="31">
        <f>J31+K8*K4*3</f>
        <v>-1788145.3763999993</v>
      </c>
      <c r="K39" s="31">
        <f>K31+L4*L8*3</f>
        <v>-2438824.3756559985</v>
      </c>
      <c r="L39" s="87"/>
      <c r="M39" s="3"/>
    </row>
    <row r="40" spans="1:13" s="2" customFormat="1" ht="31" customHeight="1" x14ac:dyDescent="0.15">
      <c r="A40" s="92" t="s">
        <v>21</v>
      </c>
      <c r="B40" s="38"/>
      <c r="C40" s="38"/>
      <c r="D40" s="38"/>
      <c r="E40" s="38"/>
      <c r="F40" s="38"/>
      <c r="G40" s="38"/>
      <c r="H40" s="38"/>
      <c r="I40" s="39"/>
      <c r="J40" s="40"/>
      <c r="K40" s="40"/>
      <c r="L40" s="87"/>
      <c r="M40" s="3"/>
    </row>
    <row r="41" spans="1:13" s="2" customFormat="1" ht="30" customHeight="1" x14ac:dyDescent="0.15">
      <c r="A41" s="93" t="s">
        <v>51</v>
      </c>
      <c r="B41" s="38"/>
      <c r="C41" s="38"/>
      <c r="D41" s="38"/>
      <c r="E41" s="38"/>
      <c r="F41" s="38"/>
      <c r="G41" s="38"/>
      <c r="H41" s="38"/>
      <c r="I41" s="39"/>
      <c r="J41" s="40"/>
      <c r="K41" s="40"/>
      <c r="L41" s="87"/>
      <c r="M41" s="3"/>
    </row>
    <row r="42" spans="1:13" s="2" customFormat="1" ht="15" x14ac:dyDescent="0.15">
      <c r="A42" s="94" t="s">
        <v>15</v>
      </c>
      <c r="B42" s="38"/>
      <c r="C42" s="38"/>
      <c r="D42" s="38"/>
      <c r="E42" s="38"/>
      <c r="F42" s="38"/>
      <c r="G42" s="38"/>
      <c r="H42" s="38"/>
      <c r="I42" s="72">
        <f>(J8+I8)*J5</f>
        <v>609.1113600000001</v>
      </c>
      <c r="J42" s="73">
        <f>(J8+K8)*K5</f>
        <v>633.47581439999999</v>
      </c>
      <c r="K42" s="73">
        <f>(K8+L8)*L5</f>
        <v>658.81484697600001</v>
      </c>
      <c r="L42" s="87"/>
      <c r="M42" s="3"/>
    </row>
    <row r="43" spans="1:13" s="2" customFormat="1" ht="15" x14ac:dyDescent="0.15">
      <c r="A43" s="94" t="s">
        <v>16</v>
      </c>
      <c r="B43" s="38"/>
      <c r="C43" s="38"/>
      <c r="D43" s="38"/>
      <c r="E43" s="38"/>
      <c r="F43" s="38"/>
      <c r="G43" s="38"/>
      <c r="H43" s="38"/>
      <c r="I43" s="72">
        <f>(J8+I8)*J6</f>
        <v>830.60640000000012</v>
      </c>
      <c r="J43" s="73">
        <f>(J8+K8)*K6</f>
        <v>863.83065600000009</v>
      </c>
      <c r="K43" s="73">
        <f>(K8+L8)*L6</f>
        <v>898.38388223999993</v>
      </c>
      <c r="L43" s="87"/>
      <c r="M43" s="3"/>
    </row>
    <row r="44" spans="1:13" s="2" customFormat="1" ht="15" x14ac:dyDescent="0.15">
      <c r="A44" s="94" t="s">
        <v>17</v>
      </c>
      <c r="B44" s="38"/>
      <c r="C44" s="38"/>
      <c r="D44" s="38"/>
      <c r="E44" s="38"/>
      <c r="F44" s="38"/>
      <c r="G44" s="38"/>
      <c r="H44" s="38"/>
      <c r="I44" s="72">
        <f>(J8+I8)*J7</f>
        <v>1033.6435200000001</v>
      </c>
      <c r="J44" s="73">
        <f>(J8+K8)*K7</f>
        <v>1074.9892608</v>
      </c>
      <c r="K44" s="73">
        <f>(K8+L8)*L7</f>
        <v>1117.9888312319999</v>
      </c>
      <c r="L44" s="87"/>
      <c r="M44" s="3"/>
    </row>
    <row r="45" spans="1:13" s="2" customFormat="1" ht="31" thickBot="1" x14ac:dyDescent="0.2">
      <c r="A45" s="166" t="s">
        <v>22</v>
      </c>
      <c r="B45" s="143"/>
      <c r="C45" s="143"/>
      <c r="D45" s="143"/>
      <c r="E45" s="143"/>
      <c r="F45" s="143"/>
      <c r="G45" s="143"/>
      <c r="H45" s="143"/>
      <c r="I45" s="161">
        <f>I26+(J4*J8*6)</f>
        <v>-1382116.9999999998</v>
      </c>
      <c r="J45" s="162">
        <f>J31+(K4*K8*6)</f>
        <v>-1685389.0499999991</v>
      </c>
      <c r="K45" s="162">
        <f>K31+(L4*L8*6)</f>
        <v>-2331957.7961999988</v>
      </c>
      <c r="L45" s="137"/>
      <c r="M45" s="3"/>
    </row>
    <row r="46" spans="1:13" s="2" customFormat="1" ht="32.25" customHeight="1" x14ac:dyDescent="0.15">
      <c r="A46" s="160" t="s">
        <v>52</v>
      </c>
      <c r="B46" s="144"/>
      <c r="C46" s="144"/>
      <c r="D46" s="144"/>
      <c r="E46" s="144"/>
      <c r="F46" s="144"/>
      <c r="G46" s="144"/>
      <c r="H46" s="144"/>
      <c r="I46" s="129"/>
      <c r="J46" s="145"/>
      <c r="K46" s="145"/>
      <c r="L46" s="132"/>
      <c r="M46" s="3"/>
    </row>
    <row r="47" spans="1:13" s="2" customFormat="1" ht="24.5" customHeight="1" x14ac:dyDescent="0.15">
      <c r="A47" s="97" t="s">
        <v>53</v>
      </c>
      <c r="B47" s="22"/>
      <c r="C47" s="22"/>
      <c r="D47" s="22"/>
      <c r="E47" s="22"/>
      <c r="F47" s="22"/>
      <c r="G47" s="22"/>
      <c r="H47" s="22"/>
      <c r="I47" s="34">
        <f>-IF(I26&lt;0,I26/I4/3,0)</f>
        <v>150.45003047619045</v>
      </c>
      <c r="J47" s="7">
        <f>-IF(J31&lt;0,J31/J4/3,0)</f>
        <v>180.0858764571428</v>
      </c>
      <c r="K47" s="7">
        <f>-IF(K31&lt;0,K31/K4/3,0)</f>
        <v>242.44675762971417</v>
      </c>
      <c r="L47" s="98"/>
      <c r="M47" s="3"/>
    </row>
    <row r="48" spans="1:13" s="2" customFormat="1" ht="30" x14ac:dyDescent="0.15">
      <c r="A48" s="89" t="s">
        <v>60</v>
      </c>
      <c r="B48" s="22"/>
      <c r="C48" s="22"/>
      <c r="D48" s="22"/>
      <c r="E48" s="22"/>
      <c r="F48" s="22"/>
      <c r="G48" s="22"/>
      <c r="H48" s="22"/>
      <c r="I48" s="34"/>
      <c r="J48" s="7"/>
      <c r="K48" s="6"/>
      <c r="L48" s="98"/>
      <c r="M48" s="3"/>
    </row>
    <row r="49" spans="1:13" s="2" customFormat="1" ht="15" x14ac:dyDescent="0.15">
      <c r="A49" s="90" t="s">
        <v>15</v>
      </c>
      <c r="B49" s="22"/>
      <c r="C49" s="22"/>
      <c r="D49" s="22"/>
      <c r="E49" s="22"/>
      <c r="F49" s="22"/>
      <c r="G49" s="22"/>
      <c r="H49" s="22"/>
      <c r="I49" s="74">
        <f>(I8+$I$47)*I5</f>
        <v>5263.4350057142847</v>
      </c>
      <c r="J49" s="75">
        <f>(J8+$J$47)*J5</f>
        <v>6253.3612830857128</v>
      </c>
      <c r="K49" s="75">
        <f>(K8+$K$47)*K5</f>
        <v>8323.6914561805679</v>
      </c>
      <c r="L49" s="98"/>
      <c r="M49" s="3"/>
    </row>
    <row r="50" spans="1:13" s="2" customFormat="1" ht="15" x14ac:dyDescent="0.15">
      <c r="A50" s="91" t="s">
        <v>16</v>
      </c>
      <c r="B50" s="22"/>
      <c r="C50" s="22"/>
      <c r="D50" s="22"/>
      <c r="E50" s="22"/>
      <c r="F50" s="22"/>
      <c r="G50" s="22"/>
      <c r="H50" s="22"/>
      <c r="I50" s="74">
        <f>(I8+$I$47)*I6</f>
        <v>7177.4113714285704</v>
      </c>
      <c r="J50" s="75">
        <f>(J8+$J$47)*J6</f>
        <v>8527.3108405714265</v>
      </c>
      <c r="K50" s="75">
        <f>(K8+$K$47)*I6</f>
        <v>11350.488349337138</v>
      </c>
      <c r="L50" s="98"/>
      <c r="M50" s="3"/>
    </row>
    <row r="51" spans="1:13" s="2" customFormat="1" ht="15" x14ac:dyDescent="0.15">
      <c r="A51" s="91" t="s">
        <v>17</v>
      </c>
      <c r="B51" s="22"/>
      <c r="C51" s="22"/>
      <c r="D51" s="22"/>
      <c r="E51" s="22"/>
      <c r="F51" s="22"/>
      <c r="G51" s="22"/>
      <c r="H51" s="22"/>
      <c r="I51" s="74">
        <f>(I8+$I$47)*I7</f>
        <v>8931.889706666665</v>
      </c>
      <c r="J51" s="75">
        <f>(J8+$J$47)*J7</f>
        <v>10611.764601599996</v>
      </c>
      <c r="K51" s="75">
        <f>(K8+$K$47)*K7</f>
        <v>14125.052168063994</v>
      </c>
      <c r="L51" s="98"/>
      <c r="M51" s="3"/>
    </row>
    <row r="52" spans="1:13" s="2" customFormat="1" ht="28" x14ac:dyDescent="0.15">
      <c r="A52" s="97" t="s">
        <v>54</v>
      </c>
      <c r="B52" s="22"/>
      <c r="C52" s="22"/>
      <c r="D52" s="22"/>
      <c r="E52" s="22"/>
      <c r="F52" s="22"/>
      <c r="G52" s="22"/>
      <c r="H52" s="22"/>
      <c r="I52" s="34">
        <f>-I26/I4/6</f>
        <v>75.225015238095224</v>
      </c>
      <c r="J52" s="7">
        <f>-J31/J4/6</f>
        <v>90.042938228571401</v>
      </c>
      <c r="K52" s="7">
        <f>-K31/K4/6</f>
        <v>121.22337881485709</v>
      </c>
      <c r="L52" s="98"/>
      <c r="M52" s="3"/>
    </row>
    <row r="53" spans="1:13" s="2" customFormat="1" ht="30" x14ac:dyDescent="0.15">
      <c r="A53" s="89" t="s">
        <v>55</v>
      </c>
      <c r="B53" s="22"/>
      <c r="C53" s="22"/>
      <c r="D53" s="22"/>
      <c r="E53" s="22"/>
      <c r="F53" s="22"/>
      <c r="G53" s="22"/>
      <c r="H53" s="22"/>
      <c r="I53" s="34"/>
      <c r="J53" s="7"/>
      <c r="K53" s="7"/>
      <c r="L53" s="98"/>
      <c r="M53" s="3"/>
    </row>
    <row r="54" spans="1:13" s="2" customFormat="1" ht="15" x14ac:dyDescent="0.15">
      <c r="A54" s="91" t="s">
        <v>15</v>
      </c>
      <c r="B54" s="22"/>
      <c r="C54" s="22"/>
      <c r="D54" s="22"/>
      <c r="E54" s="22"/>
      <c r="F54" s="22"/>
      <c r="G54" s="22"/>
      <c r="H54" s="22"/>
      <c r="I54" s="179">
        <f>(I5+$I$52)*I8</f>
        <v>979.21993787428562</v>
      </c>
      <c r="J54" s="180">
        <f>($I$5+$I$52)*J8</f>
        <v>1018.388735389257</v>
      </c>
      <c r="K54" s="180">
        <f>($I$5+$I$52)*K8</f>
        <v>1059.1242848048273</v>
      </c>
      <c r="L54" s="98"/>
      <c r="M54" s="3"/>
    </row>
    <row r="55" spans="1:13" s="2" customFormat="1" ht="15" x14ac:dyDescent="0.15">
      <c r="A55" s="91" t="s">
        <v>37</v>
      </c>
      <c r="B55" s="22"/>
      <c r="C55" s="22"/>
      <c r="D55" s="22"/>
      <c r="E55" s="22"/>
      <c r="F55" s="22"/>
      <c r="G55" s="22"/>
      <c r="H55" s="22"/>
      <c r="I55" s="179">
        <f>(I6+I52)*I8</f>
        <v>1087.7959378742855</v>
      </c>
      <c r="J55" s="180">
        <f>(J6+J52)*J8</f>
        <v>1270.7432452957987</v>
      </c>
      <c r="K55" s="180">
        <f>(K6+K52)*K8</f>
        <v>1626.7146446485999</v>
      </c>
      <c r="L55" s="98"/>
      <c r="M55" s="3"/>
    </row>
    <row r="56" spans="1:13" s="2" customFormat="1" ht="16" thickBot="1" x14ac:dyDescent="0.2">
      <c r="A56" s="99" t="s">
        <v>17</v>
      </c>
      <c r="B56" s="146"/>
      <c r="C56" s="146"/>
      <c r="D56" s="146"/>
      <c r="E56" s="146"/>
      <c r="F56" s="146"/>
      <c r="G56" s="146"/>
      <c r="H56" s="146"/>
      <c r="I56" s="181">
        <f>(I5+$I$52)*I8</f>
        <v>979.21993787428562</v>
      </c>
      <c r="J56" s="182">
        <f>(J5+$J$52)*J8</f>
        <v>1157.8242052957985</v>
      </c>
      <c r="K56" s="182">
        <f>(K5+$K$52)*K8</f>
        <v>1509.2788430486</v>
      </c>
      <c r="L56" s="147"/>
      <c r="M56" s="3"/>
    </row>
    <row r="57" spans="1:13" s="2" customFormat="1" ht="15" x14ac:dyDescent="0.15">
      <c r="A57" s="95" t="s">
        <v>23</v>
      </c>
      <c r="B57" s="23"/>
      <c r="C57" s="23"/>
      <c r="D57" s="23"/>
      <c r="E57" s="23"/>
      <c r="F57" s="23"/>
      <c r="G57" s="23"/>
      <c r="H57" s="23"/>
      <c r="I57" s="24"/>
      <c r="J57" s="10"/>
      <c r="K57" s="10"/>
      <c r="L57" s="98"/>
      <c r="M57" s="3"/>
    </row>
    <row r="58" spans="1:13" s="2" customFormat="1" ht="15" x14ac:dyDescent="0.15">
      <c r="A58" s="100" t="s">
        <v>24</v>
      </c>
      <c r="B58" s="23"/>
      <c r="C58" s="23"/>
      <c r="D58" s="23"/>
      <c r="E58" s="23"/>
      <c r="F58" s="23"/>
      <c r="G58" s="23"/>
      <c r="H58" s="23"/>
      <c r="I58" s="23">
        <f>-I26</f>
        <v>1579725.3199999998</v>
      </c>
      <c r="J58" s="9">
        <f>-J31</f>
        <v>1890901.7027999992</v>
      </c>
      <c r="K58" s="9">
        <f>-K31</f>
        <v>2545690.9551119986</v>
      </c>
      <c r="L58" s="98"/>
      <c r="M58" s="3"/>
    </row>
    <row r="59" spans="1:13" s="2" customFormat="1" x14ac:dyDescent="0.15">
      <c r="A59" s="101" t="s">
        <v>25</v>
      </c>
      <c r="B59" s="23"/>
      <c r="C59" s="23"/>
      <c r="D59" s="23"/>
      <c r="E59" s="23"/>
      <c r="F59" s="23"/>
      <c r="G59" s="23"/>
      <c r="H59" s="23"/>
      <c r="I59" s="32">
        <v>6</v>
      </c>
      <c r="J59" s="48">
        <v>6</v>
      </c>
      <c r="K59" s="48">
        <v>6</v>
      </c>
      <c r="L59" s="98"/>
      <c r="M59" s="3"/>
    </row>
    <row r="60" spans="1:13" s="2" customFormat="1" ht="30" x14ac:dyDescent="0.15">
      <c r="A60" s="100" t="s">
        <v>61</v>
      </c>
      <c r="B60" s="23"/>
      <c r="C60" s="23"/>
      <c r="D60" s="23"/>
      <c r="E60" s="23"/>
      <c r="F60" s="23"/>
      <c r="G60" s="23"/>
      <c r="H60" s="23"/>
      <c r="I60" s="35">
        <f>I58/I59</f>
        <v>263287.55333333329</v>
      </c>
      <c r="J60" s="31">
        <f>J58/J59</f>
        <v>315150.28379999986</v>
      </c>
      <c r="K60" s="31">
        <f>K58/K59</f>
        <v>424281.82585199975</v>
      </c>
      <c r="L60" s="98"/>
      <c r="M60" s="3"/>
    </row>
    <row r="61" spans="1:13" s="2" customFormat="1" ht="45" x14ac:dyDescent="0.15">
      <c r="A61" s="100" t="s">
        <v>56</v>
      </c>
      <c r="B61" s="23"/>
      <c r="C61" s="23"/>
      <c r="D61" s="23"/>
      <c r="E61" s="23"/>
      <c r="F61" s="23"/>
      <c r="G61" s="23"/>
      <c r="H61" s="23"/>
      <c r="I61" s="35">
        <f>0.95*I21-I60</f>
        <v>-233804.64533333329</v>
      </c>
      <c r="J61" s="31">
        <f>0.95*J21-J60</f>
        <v>-284488.05947999988</v>
      </c>
      <c r="K61" s="31">
        <f>0.95*K21-K60</f>
        <v>-392393.11255919974</v>
      </c>
      <c r="L61" s="98"/>
      <c r="M61" s="3"/>
    </row>
    <row r="62" spans="1:13" s="2" customFormat="1" ht="15" x14ac:dyDescent="0.15">
      <c r="A62" s="102" t="s">
        <v>57</v>
      </c>
      <c r="B62" s="23"/>
      <c r="C62" s="23"/>
      <c r="D62" s="23"/>
      <c r="E62" s="23"/>
      <c r="F62" s="23"/>
      <c r="G62" s="23"/>
      <c r="H62" s="23"/>
      <c r="I62" s="34">
        <f>IF(I61&gt;0,0,I58/I4)</f>
        <v>451.35009142857137</v>
      </c>
      <c r="J62" s="7">
        <f>IF(J61&gt;0,0,J58/J4)</f>
        <v>540.25762937142838</v>
      </c>
      <c r="K62" s="7">
        <f>IF(K61&gt;0,0,K58/K4)</f>
        <v>727.34027288914251</v>
      </c>
      <c r="L62" s="98"/>
      <c r="M62" s="3"/>
    </row>
    <row r="63" spans="1:13" s="2" customFormat="1" ht="30" x14ac:dyDescent="0.15">
      <c r="A63" s="100" t="s">
        <v>58</v>
      </c>
      <c r="B63" s="23"/>
      <c r="C63" s="23"/>
      <c r="D63" s="23"/>
      <c r="E63" s="23"/>
      <c r="F63" s="23"/>
      <c r="G63" s="23"/>
      <c r="H63" s="23"/>
      <c r="I63" s="28"/>
      <c r="J63" s="8"/>
      <c r="K63" s="8"/>
      <c r="L63" s="98"/>
      <c r="M63" s="3"/>
    </row>
    <row r="64" spans="1:13" s="2" customFormat="1" ht="15" x14ac:dyDescent="0.15">
      <c r="A64" s="103" t="s">
        <v>15</v>
      </c>
      <c r="B64" s="23"/>
      <c r="C64" s="23"/>
      <c r="D64" s="23"/>
      <c r="E64" s="23"/>
      <c r="F64" s="23"/>
      <c r="G64" s="23"/>
      <c r="H64" s="23"/>
      <c r="I64" s="72">
        <f>IF(I62&gt;0,(I62+I8)*I5,I18)</f>
        <v>15193.137017142855</v>
      </c>
      <c r="J64" s="73">
        <f>IF(J62&gt;0,(J62+J8)*J5,J18)</f>
        <v>18139.029129257135</v>
      </c>
      <c r="K64" s="73">
        <f>IF(K62&gt;0,(K62+K8)*K5,K18)</f>
        <v>24325.177459741702</v>
      </c>
      <c r="L64" s="98"/>
      <c r="M64" s="3"/>
    </row>
    <row r="65" spans="1:13" s="2" customFormat="1" ht="15" x14ac:dyDescent="0.15">
      <c r="A65" s="103" t="s">
        <v>16</v>
      </c>
      <c r="B65" s="23"/>
      <c r="C65" s="23"/>
      <c r="D65" s="23"/>
      <c r="E65" s="23"/>
      <c r="F65" s="23"/>
      <c r="G65" s="23"/>
      <c r="H65" s="23"/>
      <c r="I65" s="72">
        <f>IF(I61&lt;0,(I62+I8)*I6,I19)</f>
        <v>20717.914114285712</v>
      </c>
      <c r="J65" s="73">
        <f>IF(J61&lt;0,(J62+J8)*J6,J19)</f>
        <v>24735.039721714274</v>
      </c>
      <c r="K65" s="73">
        <f>IF(K61&lt;0,(K62+K8)*K6,K19)</f>
        <v>33170.696536011412</v>
      </c>
      <c r="L65" s="98"/>
      <c r="M65" s="3"/>
    </row>
    <row r="66" spans="1:13" s="2" customFormat="1" ht="15" x14ac:dyDescent="0.15">
      <c r="A66" s="103" t="s">
        <v>17</v>
      </c>
      <c r="B66" s="23"/>
      <c r="C66" s="23"/>
      <c r="D66" s="23"/>
      <c r="E66" s="23"/>
      <c r="F66" s="23"/>
      <c r="G66" s="23"/>
      <c r="H66" s="23"/>
      <c r="I66" s="72">
        <f>IF(I61&lt;0,(I62+I8)*I7,I20)</f>
        <v>25782.293119999998</v>
      </c>
      <c r="J66" s="73">
        <f>IF(J61&lt;0,(J62+J8)*J7,J20)</f>
        <v>30781.382764799986</v>
      </c>
      <c r="K66" s="73">
        <f>IF(K61&lt;0,(K62+K8)*K7,K20)</f>
        <v>41279.089022591979</v>
      </c>
      <c r="L66" s="98"/>
      <c r="M66" s="3"/>
    </row>
    <row r="67" spans="1:13" s="2" customFormat="1" x14ac:dyDescent="0.15">
      <c r="A67" s="101" t="s">
        <v>26</v>
      </c>
      <c r="B67" s="23"/>
      <c r="C67" s="23"/>
      <c r="D67" s="23"/>
      <c r="E67" s="23"/>
      <c r="F67" s="23"/>
      <c r="G67" s="23"/>
      <c r="H67" s="23"/>
      <c r="I67" s="172">
        <v>12</v>
      </c>
      <c r="J67" s="173">
        <v>12</v>
      </c>
      <c r="K67" s="173">
        <v>12</v>
      </c>
      <c r="L67" s="98"/>
      <c r="M67" s="3"/>
    </row>
    <row r="68" spans="1:13" s="2" customFormat="1" ht="30" x14ac:dyDescent="0.15">
      <c r="A68" s="100" t="s">
        <v>62</v>
      </c>
      <c r="B68" s="23"/>
      <c r="C68" s="23"/>
      <c r="D68" s="23"/>
      <c r="E68" s="23"/>
      <c r="F68" s="23"/>
      <c r="G68" s="23"/>
      <c r="H68" s="23"/>
      <c r="I68" s="28">
        <f>I58/I67</f>
        <v>131643.77666666664</v>
      </c>
      <c r="J68" s="8">
        <f>J58/J67</f>
        <v>157575.14189999993</v>
      </c>
      <c r="K68" s="8">
        <f>K58/K67</f>
        <v>212140.91292599987</v>
      </c>
      <c r="L68" s="98"/>
      <c r="M68" s="3"/>
    </row>
    <row r="69" spans="1:13" s="2" customFormat="1" ht="45" x14ac:dyDescent="0.15">
      <c r="A69" s="100" t="s">
        <v>72</v>
      </c>
      <c r="B69" s="23"/>
      <c r="C69" s="23"/>
      <c r="D69" s="23"/>
      <c r="E69" s="23"/>
      <c r="F69" s="23"/>
      <c r="G69" s="23"/>
      <c r="H69" s="23"/>
      <c r="I69" s="35">
        <f>I21*0.95-I68</f>
        <v>-102160.86866666665</v>
      </c>
      <c r="J69" s="31">
        <f>J21*0.95-J68</f>
        <v>-126912.91757999992</v>
      </c>
      <c r="K69" s="8">
        <f>K21*0.95-K68</f>
        <v>-180252.19963319987</v>
      </c>
      <c r="L69" s="98"/>
      <c r="M69" s="3"/>
    </row>
    <row r="70" spans="1:13" s="2" customFormat="1" ht="30" x14ac:dyDescent="0.15">
      <c r="A70" s="100" t="s">
        <v>59</v>
      </c>
      <c r="B70" s="23"/>
      <c r="C70" s="23"/>
      <c r="D70" s="23"/>
      <c r="E70" s="23"/>
      <c r="F70" s="23"/>
      <c r="G70" s="23"/>
      <c r="H70" s="23"/>
      <c r="I70" s="50">
        <f>IF(I69&lt;0,I68/I4,0)</f>
        <v>37.612507619047612</v>
      </c>
      <c r="J70" s="41">
        <f>IF(J69&lt;0,J68/J4,0)</f>
        <v>45.021469114285694</v>
      </c>
      <c r="K70" s="41">
        <f>IF(K69&lt;0,K68/K4,0)</f>
        <v>60.611689407428536</v>
      </c>
      <c r="L70" s="98"/>
      <c r="M70" s="3"/>
    </row>
    <row r="71" spans="1:13" s="2" customFormat="1" ht="30" x14ac:dyDescent="0.15">
      <c r="A71" s="100" t="s">
        <v>63</v>
      </c>
      <c r="B71" s="23"/>
      <c r="C71" s="23"/>
      <c r="D71" s="23"/>
      <c r="E71" s="23"/>
      <c r="F71" s="23"/>
      <c r="G71" s="23"/>
      <c r="H71" s="23"/>
      <c r="I71" s="74"/>
      <c r="J71" s="75"/>
      <c r="K71" s="75"/>
      <c r="L71" s="98"/>
      <c r="M71" s="3"/>
    </row>
    <row r="72" spans="1:13" s="2" customFormat="1" ht="15" x14ac:dyDescent="0.15">
      <c r="A72" s="103" t="s">
        <v>15</v>
      </c>
      <c r="B72" s="23"/>
      <c r="C72" s="23"/>
      <c r="D72" s="23"/>
      <c r="E72" s="23"/>
      <c r="F72" s="23"/>
      <c r="G72" s="23"/>
      <c r="H72" s="23"/>
      <c r="I72" s="74">
        <f>IF(I69&lt;0,(I70+I8)*I5,I18)</f>
        <v>1539.7967514285713</v>
      </c>
      <c r="J72" s="75">
        <f>IF(J69&lt;0,(J70+J8)*J5,J18)</f>
        <v>1796.2358407714278</v>
      </c>
      <c r="K72" s="75">
        <f>IF(K69&lt;0,(K70+K8)*K5,K18)</f>
        <v>2323.1342048451415</v>
      </c>
      <c r="L72" s="98"/>
      <c r="M72" s="3"/>
    </row>
    <row r="73" spans="1:13" s="2" customFormat="1" ht="15" x14ac:dyDescent="0.15">
      <c r="A73" s="103" t="s">
        <v>16</v>
      </c>
      <c r="B73" s="23"/>
      <c r="C73" s="23"/>
      <c r="D73" s="23"/>
      <c r="E73" s="23"/>
      <c r="F73" s="23"/>
      <c r="G73" s="23"/>
      <c r="H73" s="23"/>
      <c r="I73" s="74">
        <f>IF(I69&lt;0,(I70+I8)*I6,I19)</f>
        <v>2099.7228428571425</v>
      </c>
      <c r="J73" s="75">
        <f>IF(J69&lt;0,(J70+J8)*J6,J19)</f>
        <v>2449.4125101428563</v>
      </c>
      <c r="K73" s="75">
        <f>IF(K69&lt;0,(K70+K8)*K6,K19)</f>
        <v>3167.910279334284</v>
      </c>
      <c r="L73" s="98"/>
      <c r="M73" s="3"/>
    </row>
    <row r="74" spans="1:13" s="2" customFormat="1" ht="16" thickBot="1" x14ac:dyDescent="0.2">
      <c r="A74" s="103" t="s">
        <v>17</v>
      </c>
      <c r="B74" s="23"/>
      <c r="C74" s="23"/>
      <c r="D74" s="23"/>
      <c r="E74" s="23"/>
      <c r="F74" s="23"/>
      <c r="G74" s="23"/>
      <c r="H74" s="23"/>
      <c r="I74" s="74">
        <f>IF(I69&lt;0,(I70+I8)*I7,I20)</f>
        <v>2612.9884266666663</v>
      </c>
      <c r="J74" s="75">
        <f>IF(J69&lt;0,(J70+J8)*J7,J20)</f>
        <v>3048.1577903999987</v>
      </c>
      <c r="K74" s="75">
        <f>IF(K69&lt;0,(K70+K8)*K7,K20)</f>
        <v>3942.2883476159982</v>
      </c>
      <c r="L74" s="98"/>
      <c r="M74" s="3"/>
    </row>
    <row r="75" spans="1:13" s="2" customFormat="1" ht="15" x14ac:dyDescent="0.15">
      <c r="A75" s="128" t="s">
        <v>27</v>
      </c>
      <c r="B75" s="129"/>
      <c r="C75" s="129"/>
      <c r="D75" s="129"/>
      <c r="E75" s="129"/>
      <c r="F75" s="129"/>
      <c r="G75" s="129"/>
      <c r="H75" s="129"/>
      <c r="I75" s="130"/>
      <c r="J75" s="131"/>
      <c r="K75" s="131"/>
      <c r="L75" s="132"/>
      <c r="M75" s="3"/>
    </row>
    <row r="76" spans="1:13" s="2" customFormat="1" ht="15" x14ac:dyDescent="0.15">
      <c r="A76" s="100" t="s">
        <v>28</v>
      </c>
      <c r="B76" s="23"/>
      <c r="C76" s="25"/>
      <c r="D76" s="24"/>
      <c r="E76" s="24"/>
      <c r="F76" s="24"/>
      <c r="G76" s="24"/>
      <c r="H76" s="24"/>
      <c r="I76" s="28">
        <f>-I26</f>
        <v>1579725.3199999998</v>
      </c>
      <c r="J76" s="8">
        <f>-J31</f>
        <v>1890901.7027999992</v>
      </c>
      <c r="K76" s="8">
        <f>-K31</f>
        <v>2545690.9551119986</v>
      </c>
      <c r="L76" s="96"/>
      <c r="M76" s="3"/>
    </row>
    <row r="77" spans="1:13" s="2" customFormat="1" ht="15" x14ac:dyDescent="0.15">
      <c r="A77" s="100" t="s">
        <v>29</v>
      </c>
      <c r="B77" s="26"/>
      <c r="C77" s="24"/>
      <c r="D77" s="24"/>
      <c r="E77" s="24"/>
      <c r="F77" s="24"/>
      <c r="G77" s="24"/>
      <c r="H77" s="24"/>
      <c r="I77" s="156">
        <v>0.12</v>
      </c>
      <c r="J77" s="157">
        <v>0.12</v>
      </c>
      <c r="K77" s="158">
        <v>0.12</v>
      </c>
      <c r="L77" s="96"/>
      <c r="M77" s="3"/>
    </row>
    <row r="78" spans="1:13" s="43" customFormat="1" x14ac:dyDescent="0.15">
      <c r="A78" s="101" t="s">
        <v>32</v>
      </c>
      <c r="B78" s="32"/>
      <c r="C78" s="32"/>
      <c r="D78" s="32"/>
      <c r="E78" s="32"/>
      <c r="F78" s="32"/>
      <c r="G78" s="32"/>
      <c r="H78" s="32"/>
      <c r="I78" s="32">
        <v>36</v>
      </c>
      <c r="J78" s="48">
        <v>36</v>
      </c>
      <c r="K78" s="48">
        <v>36</v>
      </c>
      <c r="L78" s="104"/>
      <c r="M78" s="42"/>
    </row>
    <row r="79" spans="1:13" s="2" customFormat="1" ht="26.5" customHeight="1" x14ac:dyDescent="0.15">
      <c r="A79" s="100" t="s">
        <v>64</v>
      </c>
      <c r="B79" s="27"/>
      <c r="C79" s="24"/>
      <c r="D79" s="24"/>
      <c r="E79" s="24"/>
      <c r="F79" s="24"/>
      <c r="G79" s="24"/>
      <c r="H79" s="24"/>
      <c r="I79" s="28">
        <f>-PMT(I77/12,I78,I76)</f>
        <v>52469.486197685481</v>
      </c>
      <c r="J79" s="8">
        <f>-PMT(J77/12,J78,J76)</f>
        <v>62804.994982447039</v>
      </c>
      <c r="K79" s="8">
        <f>-PMT(K77/12,K78,K76)</f>
        <v>84553.368070862969</v>
      </c>
      <c r="L79" s="96"/>
      <c r="M79" s="3"/>
    </row>
    <row r="80" spans="1:13" s="2" customFormat="1" ht="30" x14ac:dyDescent="0.15">
      <c r="A80" s="105" t="s">
        <v>71</v>
      </c>
      <c r="B80" s="26"/>
      <c r="C80" s="24"/>
      <c r="D80" s="24"/>
      <c r="E80" s="24"/>
      <c r="F80" s="24"/>
      <c r="G80" s="24"/>
      <c r="H80" s="24"/>
      <c r="I80" s="28">
        <f>0.8*I21-I79</f>
        <v>-27641.774197685481</v>
      </c>
      <c r="J80" s="8">
        <f>0.8*J21-J79</f>
        <v>-36984.174502447037</v>
      </c>
      <c r="K80" s="8">
        <f>0.8*K21-K79</f>
        <v>-57699.71477166297</v>
      </c>
      <c r="L80" s="96"/>
      <c r="M80" s="3"/>
    </row>
    <row r="81" spans="1:13" s="2" customFormat="1" ht="30" x14ac:dyDescent="0.15">
      <c r="A81" s="100" t="s">
        <v>65</v>
      </c>
      <c r="B81" s="28"/>
      <c r="C81" s="28"/>
      <c r="D81" s="28"/>
      <c r="E81" s="28"/>
      <c r="F81" s="28"/>
      <c r="G81" s="28"/>
      <c r="H81" s="28"/>
      <c r="I81" s="167">
        <f>-IF(I80&lt;0,I80/I4,0)</f>
        <v>7.8976497707672806</v>
      </c>
      <c r="J81" s="168">
        <f>-IF(J80&lt;0,J80/J4,0)</f>
        <v>10.566907000699153</v>
      </c>
      <c r="K81" s="6">
        <f>-IF(K80&lt;0,K80/K4,0)</f>
        <v>16.485632791903704</v>
      </c>
      <c r="L81" s="106"/>
      <c r="M81" s="3"/>
    </row>
    <row r="82" spans="1:13" s="2" customFormat="1" ht="15" customHeight="1" x14ac:dyDescent="0.15">
      <c r="A82" s="100" t="s">
        <v>66</v>
      </c>
      <c r="B82" s="27"/>
      <c r="C82" s="24"/>
      <c r="D82" s="24"/>
      <c r="E82" s="24"/>
      <c r="F82" s="24"/>
      <c r="G82" s="24"/>
      <c r="H82" s="24"/>
      <c r="I82" s="36"/>
      <c r="J82" s="29"/>
      <c r="K82" s="10"/>
      <c r="L82" s="96"/>
      <c r="M82" s="3"/>
    </row>
    <row r="83" spans="1:13" s="2" customFormat="1" ht="15" x14ac:dyDescent="0.15">
      <c r="A83" s="103" t="s">
        <v>15</v>
      </c>
      <c r="B83" s="30"/>
      <c r="C83" s="30"/>
      <c r="D83" s="30"/>
      <c r="E83" s="30"/>
      <c r="F83" s="30"/>
      <c r="G83" s="30"/>
      <c r="H83" s="30"/>
      <c r="I83" s="76">
        <f>IF(I80&lt;0,(I81+I8)*I5,I18)</f>
        <v>559.20644243532035</v>
      </c>
      <c r="J83" s="75">
        <f>IF(J80&lt;0,(J81+J8)*J5,J18)</f>
        <v>659.23529102307202</v>
      </c>
      <c r="K83" s="75">
        <f>IF(K80&lt;0,(K81+K8)*K5,K18)</f>
        <v>866.97433653282224</v>
      </c>
      <c r="L83" s="96"/>
      <c r="M83" s="3"/>
    </row>
    <row r="84" spans="1:13" s="2" customFormat="1" ht="15" x14ac:dyDescent="0.15">
      <c r="A84" s="103" t="s">
        <v>16</v>
      </c>
      <c r="B84" s="30"/>
      <c r="C84" s="30"/>
      <c r="D84" s="30"/>
      <c r="E84" s="30"/>
      <c r="F84" s="30"/>
      <c r="G84" s="30"/>
      <c r="H84" s="30"/>
      <c r="I84" s="76">
        <f>IF(I81&gt;0,(I81+I8)*I6,I19)</f>
        <v>762.55423968452772</v>
      </c>
      <c r="J84" s="75">
        <f>IF(J81&gt;0,(J81+J8)*J6,J19)</f>
        <v>898.95721503146183</v>
      </c>
      <c r="K84" s="75">
        <f>IF(K81&gt;0,(K81+K8)*K6,K19)</f>
        <v>1182.2377316356667</v>
      </c>
      <c r="L84" s="96"/>
      <c r="M84" s="3"/>
    </row>
    <row r="85" spans="1:13" s="2" customFormat="1" ht="15" x14ac:dyDescent="0.15">
      <c r="A85" s="103" t="s">
        <v>38</v>
      </c>
      <c r="B85" s="30"/>
      <c r="C85" s="30"/>
      <c r="D85" s="30"/>
      <c r="E85" s="30"/>
      <c r="F85" s="30"/>
      <c r="G85" s="30"/>
      <c r="H85" s="30"/>
      <c r="I85" s="76">
        <f>IF(I80&lt;0,(I81+I8)*I7,I20)</f>
        <v>948.95638716296776</v>
      </c>
      <c r="J85" s="75">
        <f>IF(J80&lt;0,(J81+J8)*J7,J20)</f>
        <v>1118.7023120391525</v>
      </c>
      <c r="K85" s="75">
        <f>IF(K80&lt;0,(K81+K8)*K7,K20)</f>
        <v>1471.2291771466075</v>
      </c>
      <c r="L85" s="96"/>
      <c r="M85" s="3"/>
    </row>
    <row r="86" spans="1:13" s="43" customFormat="1" x14ac:dyDescent="0.15">
      <c r="A86" s="101" t="s">
        <v>33</v>
      </c>
      <c r="B86" s="32"/>
      <c r="C86" s="32"/>
      <c r="D86" s="32"/>
      <c r="E86" s="32"/>
      <c r="F86" s="32"/>
      <c r="G86" s="32"/>
      <c r="H86" s="32"/>
      <c r="I86" s="32">
        <v>60</v>
      </c>
      <c r="J86" s="48">
        <v>60</v>
      </c>
      <c r="K86" s="48">
        <v>60</v>
      </c>
      <c r="L86" s="104"/>
      <c r="M86" s="42"/>
    </row>
    <row r="87" spans="1:13" s="2" customFormat="1" ht="27.5" customHeight="1" x14ac:dyDescent="0.15">
      <c r="A87" s="100" t="s">
        <v>67</v>
      </c>
      <c r="B87" s="27"/>
      <c r="C87" s="24"/>
      <c r="D87" s="24"/>
      <c r="E87" s="24"/>
      <c r="F87" s="24"/>
      <c r="G87" s="24"/>
      <c r="H87" s="24"/>
      <c r="I87" s="28">
        <f>-PMT(I77/12,I86,I76)</f>
        <v>35140.117237254708</v>
      </c>
      <c r="J87" s="8">
        <f>-PMT(J77/12,J86,J76)</f>
        <v>42062.064005226261</v>
      </c>
      <c r="K87" s="8">
        <f>-PMT(K77/12,K86,K76)</f>
        <v>56627.489272916479</v>
      </c>
      <c r="L87" s="96"/>
      <c r="M87" s="3"/>
    </row>
    <row r="88" spans="1:13" s="2" customFormat="1" ht="30" x14ac:dyDescent="0.15">
      <c r="A88" s="105" t="s">
        <v>68</v>
      </c>
      <c r="B88" s="26"/>
      <c r="C88" s="24"/>
      <c r="D88" s="24"/>
      <c r="E88" s="24"/>
      <c r="F88" s="24"/>
      <c r="G88" s="24"/>
      <c r="H88" s="24"/>
      <c r="I88" s="28">
        <f>0.8*I21-I87</f>
        <v>-10312.405237254708</v>
      </c>
      <c r="J88" s="8">
        <f>0.8*J21-J87</f>
        <v>-16241.243525226258</v>
      </c>
      <c r="K88" s="8">
        <f>0.8*K21-K87</f>
        <v>-29773.835973716479</v>
      </c>
      <c r="L88" s="96"/>
      <c r="M88" s="3"/>
    </row>
    <row r="89" spans="1:13" ht="30" x14ac:dyDescent="0.15">
      <c r="A89" s="100" t="s">
        <v>69</v>
      </c>
      <c r="B89" s="28"/>
      <c r="C89" s="28"/>
      <c r="D89" s="28"/>
      <c r="E89" s="28"/>
      <c r="F89" s="28"/>
      <c r="G89" s="28"/>
      <c r="H89" s="28"/>
      <c r="I89" s="167">
        <f>-IF(I88&lt;0,I88/I4,0)</f>
        <v>2.9464014963584884</v>
      </c>
      <c r="J89" s="168">
        <f>-IF(J88&lt;0,J88/J4,0)</f>
        <v>4.6403552929217877</v>
      </c>
      <c r="K89" s="168">
        <f>-IF(K88&lt;0,K88/K4,0)</f>
        <v>8.5068102782047088</v>
      </c>
      <c r="L89" s="107"/>
    </row>
    <row r="90" spans="1:13" ht="30" x14ac:dyDescent="0.15">
      <c r="A90" s="100" t="s">
        <v>70</v>
      </c>
      <c r="B90" s="27"/>
      <c r="C90" s="24"/>
      <c r="D90" s="24"/>
      <c r="E90" s="24"/>
      <c r="F90" s="24"/>
      <c r="G90" s="24"/>
      <c r="H90" s="24"/>
      <c r="I90" s="36"/>
      <c r="J90" s="29"/>
      <c r="K90" s="10"/>
      <c r="L90" s="107"/>
    </row>
    <row r="91" spans="1:13" ht="15" x14ac:dyDescent="0.15">
      <c r="A91" s="103" t="s">
        <v>15</v>
      </c>
      <c r="B91" s="30"/>
      <c r="C91" s="30"/>
      <c r="D91" s="30"/>
      <c r="E91" s="30"/>
      <c r="F91" s="30"/>
      <c r="G91" s="30"/>
      <c r="H91" s="30"/>
      <c r="I91" s="76">
        <f>IF(I88&lt;0,(I89+I8)*I5,I18)</f>
        <v>395.81524937983011</v>
      </c>
      <c r="J91" s="169">
        <f>IF(J88&lt;0,(J89+J8)*J5,J18)</f>
        <v>463.65908466641901</v>
      </c>
      <c r="K91" s="169">
        <f>IF(K88&lt;0,(K89+K8)*K5,K18)</f>
        <v>603.67319358075542</v>
      </c>
      <c r="L91" s="107"/>
    </row>
    <row r="92" spans="1:13" ht="15" x14ac:dyDescent="0.15">
      <c r="A92" s="103" t="s">
        <v>16</v>
      </c>
      <c r="B92" s="30"/>
      <c r="C92" s="30"/>
      <c r="D92" s="30"/>
      <c r="E92" s="30"/>
      <c r="F92" s="30"/>
      <c r="G92" s="30"/>
      <c r="H92" s="30"/>
      <c r="I92" s="76">
        <f>IF(I88&lt;0,(I89+I8)*I6,I19)</f>
        <v>539.74806733613195</v>
      </c>
      <c r="J92" s="169">
        <f>IF(J88&lt;0,(J89+J8)*J6,J19)</f>
        <v>632.26238818148045</v>
      </c>
      <c r="K92" s="169">
        <f>IF(K88&lt;0,(K89+K8)*K6,K19)</f>
        <v>823.19071851921194</v>
      </c>
      <c r="L92" s="107"/>
    </row>
    <row r="93" spans="1:13" s="2" customFormat="1" ht="16" thickBot="1" x14ac:dyDescent="0.2">
      <c r="A93" s="108" t="s">
        <v>17</v>
      </c>
      <c r="B93" s="109"/>
      <c r="C93" s="109"/>
      <c r="D93" s="109"/>
      <c r="E93" s="109"/>
      <c r="F93" s="109"/>
      <c r="G93" s="109"/>
      <c r="H93" s="109"/>
      <c r="I93" s="170">
        <f>IF(I88&lt;0,(I89+I8)*I7,I20)</f>
        <v>671.68648379607532</v>
      </c>
      <c r="J93" s="171">
        <f>IF(J88&lt;0,(J89+J8)*J7,J20)</f>
        <v>786.81541640362013</v>
      </c>
      <c r="K93" s="171">
        <f>IF(K88&lt;0,(K89+K8)*K7,K20)</f>
        <v>1024.4151163794636</v>
      </c>
      <c r="L93" s="110"/>
    </row>
  </sheetData>
  <sheetProtection algorithmName="SHA-512" hashValue="ccbJjTqnxUgFvRBHotU+tYgCO8rzCYSE4/qs+Lq4Aa3FfncdBHN+pTolfzjPPyXEJFZDYZ65nNA3wFYB6K6jxQ==" saltValue="F5T/P9gj7sjMJoy9askSBw==" spinCount="100000" sheet="1" objects="1" scenarios="1"/>
  <mergeCells count="1">
    <mergeCell ref="A1:L1"/>
  </mergeCells>
  <conditionalFormatting sqref="B16:L9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Финансовая модель _Пример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Евгения Железова</cp:lastModifiedBy>
  <dcterms:created xsi:type="dcterms:W3CDTF">2021-10-26T16:19:19Z</dcterms:created>
  <dcterms:modified xsi:type="dcterms:W3CDTF">2022-02-18T06:48:14Z</dcterms:modified>
</cp:coreProperties>
</file>