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NO NAME/Финансовая модель капремонта на спецсчете/Для семинара 17 февраля 2022 года /"/>
    </mc:Choice>
  </mc:AlternateContent>
  <xr:revisionPtr revIDLastSave="0" documentId="13_ncr:1_{98267716-7D6F-4540-96E3-B184917ED2BA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Пример 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I40" i="2"/>
  <c r="I41" i="2" s="1"/>
  <c r="I31" i="2"/>
  <c r="Y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Z24" i="2"/>
  <c r="AA24" i="2"/>
  <c r="AB24" i="2"/>
  <c r="AC24" i="2"/>
  <c r="AD24" i="2"/>
  <c r="AE24" i="2"/>
  <c r="J24" i="2"/>
  <c r="L22" i="2"/>
  <c r="AE23" i="2"/>
  <c r="AD23" i="2"/>
  <c r="X23" i="2"/>
  <c r="Y23" i="2"/>
  <c r="Z23" i="2"/>
  <c r="AA23" i="2"/>
  <c r="AB23" i="2"/>
  <c r="AC23" i="2"/>
  <c r="Q23" i="2"/>
  <c r="R23" i="2"/>
  <c r="S23" i="2"/>
  <c r="T23" i="2"/>
  <c r="U23" i="2"/>
  <c r="V23" i="2"/>
  <c r="W23" i="2"/>
  <c r="O23" i="2"/>
  <c r="P23" i="2"/>
  <c r="K23" i="2"/>
  <c r="L23" i="2"/>
  <c r="M23" i="2"/>
  <c r="N23" i="2"/>
  <c r="M21" i="2"/>
  <c r="J21" i="2"/>
  <c r="M19" i="2"/>
  <c r="J17" i="2"/>
  <c r="J23" i="2"/>
  <c r="AE22" i="2"/>
  <c r="AE31" i="2" s="1"/>
  <c r="K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J22" i="2"/>
  <c r="B9" i="2" l="1"/>
  <c r="J12" i="2" l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K16" i="2" l="1"/>
  <c r="H31" i="2"/>
  <c r="G31" i="2"/>
  <c r="F31" i="2"/>
  <c r="E31" i="2"/>
  <c r="D31" i="2"/>
  <c r="C31" i="2"/>
  <c r="AB20" i="2"/>
  <c r="AC20" i="2"/>
  <c r="AD20" i="2"/>
  <c r="AE20" i="2"/>
  <c r="AE19" i="2"/>
  <c r="X19" i="2"/>
  <c r="Y19" i="2"/>
  <c r="Z19" i="2"/>
  <c r="AA19" i="2"/>
  <c r="AB19" i="2"/>
  <c r="AC19" i="2"/>
  <c r="AD19" i="2"/>
  <c r="T18" i="2"/>
  <c r="U18" i="2"/>
  <c r="V18" i="2"/>
  <c r="W18" i="2"/>
  <c r="X18" i="2"/>
  <c r="Y18" i="2"/>
  <c r="Z18" i="2"/>
  <c r="AA18" i="2"/>
  <c r="AB18" i="2"/>
  <c r="AC18" i="2"/>
  <c r="AD18" i="2"/>
  <c r="AE18" i="2"/>
  <c r="S18" i="2"/>
  <c r="S31" i="2" s="1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J16" i="2"/>
  <c r="P17" i="2" l="1"/>
  <c r="P31" i="2" s="1"/>
  <c r="W19" i="2"/>
  <c r="W31" i="2" s="1"/>
  <c r="AA20" i="2"/>
  <c r="AE21" i="2"/>
  <c r="X21" i="2"/>
  <c r="Y21" i="2"/>
  <c r="Z21" i="2"/>
  <c r="AA21" i="2"/>
  <c r="AA31" i="2" s="1"/>
  <c r="AB21" i="2"/>
  <c r="AC21" i="2"/>
  <c r="AD21" i="2"/>
  <c r="K21" i="2"/>
  <c r="L21" i="2"/>
  <c r="N21" i="2"/>
  <c r="O21" i="2"/>
  <c r="P21" i="2"/>
  <c r="Q21" i="2"/>
  <c r="R21" i="2"/>
  <c r="S21" i="2"/>
  <c r="T21" i="2"/>
  <c r="U21" i="2"/>
  <c r="V21" i="2"/>
  <c r="W21" i="2"/>
  <c r="W20" i="2"/>
  <c r="X20" i="2"/>
  <c r="Y20" i="2"/>
  <c r="Y31" i="2" s="1"/>
  <c r="Z20" i="2"/>
  <c r="K20" i="2"/>
  <c r="L20" i="2"/>
  <c r="M20" i="2"/>
  <c r="N20" i="2"/>
  <c r="O20" i="2"/>
  <c r="P20" i="2"/>
  <c r="Q20" i="2"/>
  <c r="R20" i="2"/>
  <c r="S20" i="2"/>
  <c r="T20" i="2"/>
  <c r="U20" i="2"/>
  <c r="V20" i="2"/>
  <c r="J20" i="2"/>
  <c r="L19" i="2"/>
  <c r="K19" i="2"/>
  <c r="J19" i="2"/>
  <c r="N19" i="2"/>
  <c r="O19" i="2"/>
  <c r="P19" i="2"/>
  <c r="Q19" i="2"/>
  <c r="R19" i="2"/>
  <c r="S19" i="2"/>
  <c r="T19" i="2"/>
  <c r="U19" i="2"/>
  <c r="V19" i="2"/>
  <c r="P18" i="2"/>
  <c r="Q18" i="2"/>
  <c r="R18" i="2"/>
  <c r="K18" i="2"/>
  <c r="L18" i="2"/>
  <c r="M18" i="2"/>
  <c r="N18" i="2"/>
  <c r="O18" i="2"/>
  <c r="J18" i="2"/>
  <c r="M17" i="2" l="1"/>
  <c r="K17" i="2"/>
  <c r="L17" i="2"/>
  <c r="N17" i="2"/>
  <c r="O17" i="2"/>
  <c r="M8" i="2" l="1"/>
  <c r="N8" i="2" s="1"/>
  <c r="O8" i="2" s="1"/>
  <c r="P8" i="2" s="1"/>
  <c r="Q8" i="2" s="1"/>
  <c r="R8" i="2" s="1"/>
  <c r="S8" i="2" s="1"/>
  <c r="T8" i="2" s="1"/>
  <c r="U8" i="2" l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C5" i="2" l="1"/>
  <c r="B12" i="2"/>
  <c r="B27" i="2" l="1"/>
  <c r="B28" i="2"/>
  <c r="B30" i="2" s="1"/>
  <c r="C9" i="2"/>
  <c r="C12" i="2" s="1"/>
  <c r="C27" i="2" s="1"/>
  <c r="D5" i="2"/>
  <c r="J6" i="2"/>
  <c r="B11" i="2"/>
  <c r="B29" i="2" s="1"/>
  <c r="J47" i="2" l="1"/>
  <c r="J40" i="2"/>
  <c r="J41" i="2" s="1"/>
  <c r="C28" i="2"/>
  <c r="C30" i="2" s="1"/>
  <c r="E5" i="2"/>
  <c r="F5" i="2" s="1"/>
  <c r="D9" i="2"/>
  <c r="D12" i="2" s="1"/>
  <c r="D27" i="2" s="1"/>
  <c r="K6" i="2"/>
  <c r="C11" i="2"/>
  <c r="C29" i="2" s="1"/>
  <c r="K40" i="2" l="1"/>
  <c r="K41" i="2" s="1"/>
  <c r="K47" i="2"/>
  <c r="D11" i="2"/>
  <c r="D29" i="2" s="1"/>
  <c r="F9" i="2"/>
  <c r="D28" i="2"/>
  <c r="D30" i="2" s="1"/>
  <c r="E9" i="2"/>
  <c r="E12" i="2" s="1"/>
  <c r="E27" i="2" s="1"/>
  <c r="G5" i="2"/>
  <c r="C32" i="2"/>
  <c r="L6" i="2"/>
  <c r="L47" i="2" l="1"/>
  <c r="L40" i="2"/>
  <c r="L41" i="2" s="1"/>
  <c r="E11" i="2"/>
  <c r="E29" i="2" s="1"/>
  <c r="E28" i="2"/>
  <c r="E30" i="2" s="1"/>
  <c r="G9" i="2"/>
  <c r="G12" i="2" s="1"/>
  <c r="H5" i="2"/>
  <c r="D32" i="2"/>
  <c r="M6" i="2"/>
  <c r="F11" i="2"/>
  <c r="F12" i="2"/>
  <c r="M47" i="2" l="1"/>
  <c r="M40" i="2"/>
  <c r="M41" i="2" s="1"/>
  <c r="G27" i="2"/>
  <c r="G28" i="2"/>
  <c r="F28" i="2"/>
  <c r="F30" i="2" s="1"/>
  <c r="F27" i="2"/>
  <c r="G11" i="2"/>
  <c r="H9" i="2"/>
  <c r="H12" i="2" s="1"/>
  <c r="I5" i="2"/>
  <c r="F29" i="2"/>
  <c r="E32" i="2"/>
  <c r="N6" i="2"/>
  <c r="I28" i="2" l="1"/>
  <c r="I27" i="2"/>
  <c r="N47" i="2"/>
  <c r="N40" i="2"/>
  <c r="N41" i="2" s="1"/>
  <c r="H27" i="2"/>
  <c r="H28" i="2"/>
  <c r="I9" i="2"/>
  <c r="I10" i="2" s="1"/>
  <c r="G29" i="2"/>
  <c r="H11" i="2"/>
  <c r="J5" i="2"/>
  <c r="I42" i="2"/>
  <c r="I48" i="2"/>
  <c r="G30" i="2"/>
  <c r="F32" i="2"/>
  <c r="O6" i="2"/>
  <c r="J28" i="2" l="1"/>
  <c r="O40" i="2"/>
  <c r="O41" i="2" s="1"/>
  <c r="O47" i="2"/>
  <c r="H29" i="2"/>
  <c r="J9" i="2"/>
  <c r="J27" i="2"/>
  <c r="I11" i="2"/>
  <c r="J48" i="2"/>
  <c r="J42" i="2"/>
  <c r="K5" i="2"/>
  <c r="H30" i="2"/>
  <c r="I30" i="2" s="1"/>
  <c r="G32" i="2"/>
  <c r="P6" i="2"/>
  <c r="K28" i="2" l="1"/>
  <c r="P47" i="2"/>
  <c r="P40" i="2"/>
  <c r="P41" i="2" s="1"/>
  <c r="I29" i="2"/>
  <c r="K27" i="2"/>
  <c r="K9" i="2"/>
  <c r="K10" i="2" s="1"/>
  <c r="K11" i="2" s="1"/>
  <c r="K48" i="2"/>
  <c r="L5" i="2"/>
  <c r="K42" i="2"/>
  <c r="J10" i="2"/>
  <c r="J11" i="2" s="1"/>
  <c r="H32" i="2"/>
  <c r="Q6" i="2"/>
  <c r="L28" i="2" l="1"/>
  <c r="Q40" i="2"/>
  <c r="Q41" i="2" s="1"/>
  <c r="Q47" i="2"/>
  <c r="J29" i="2"/>
  <c r="K29" i="2" s="1"/>
  <c r="L9" i="2"/>
  <c r="L27" i="2"/>
  <c r="L48" i="2"/>
  <c r="L42" i="2"/>
  <c r="M5" i="2"/>
  <c r="I32" i="2"/>
  <c r="I36" i="2" s="1"/>
  <c r="J30" i="2"/>
  <c r="R6" i="2"/>
  <c r="I37" i="2" l="1"/>
  <c r="M28" i="2"/>
  <c r="I49" i="2"/>
  <c r="I43" i="2"/>
  <c r="R47" i="2"/>
  <c r="R40" i="2"/>
  <c r="R41" i="2" s="1"/>
  <c r="M27" i="2"/>
  <c r="M9" i="2"/>
  <c r="M48" i="2"/>
  <c r="M42" i="2"/>
  <c r="N5" i="2"/>
  <c r="L10" i="2"/>
  <c r="L11" i="2" s="1"/>
  <c r="L29" i="2" s="1"/>
  <c r="K30" i="2"/>
  <c r="J32" i="2"/>
  <c r="J36" i="2" s="1"/>
  <c r="S6" i="2"/>
  <c r="N28" i="2" l="1"/>
  <c r="J37" i="2"/>
  <c r="I44" i="2"/>
  <c r="J44" i="2" s="1"/>
  <c r="K44" i="2" s="1"/>
  <c r="L44" i="2" s="1"/>
  <c r="M44" i="2" s="1"/>
  <c r="J43" i="2"/>
  <c r="K43" i="2" s="1"/>
  <c r="L43" i="2" s="1"/>
  <c r="I50" i="2"/>
  <c r="J50" i="2" s="1"/>
  <c r="J49" i="2"/>
  <c r="K49" i="2" s="1"/>
  <c r="L49" i="2" s="1"/>
  <c r="M49" i="2" s="1"/>
  <c r="S40" i="2"/>
  <c r="S41" i="2" s="1"/>
  <c r="S47" i="2"/>
  <c r="M10" i="2"/>
  <c r="M11" i="2" s="1"/>
  <c r="M29" i="2" s="1"/>
  <c r="N9" i="2"/>
  <c r="N10" i="2" s="1"/>
  <c r="N11" i="2" s="1"/>
  <c r="N27" i="2"/>
  <c r="N48" i="2"/>
  <c r="N42" i="2"/>
  <c r="O5" i="2"/>
  <c r="K32" i="2"/>
  <c r="L30" i="2"/>
  <c r="T6" i="2"/>
  <c r="O28" i="2" l="1"/>
  <c r="K36" i="2"/>
  <c r="K37" i="2" s="1"/>
  <c r="T47" i="2"/>
  <c r="T40" i="2"/>
  <c r="T41" i="2" s="1"/>
  <c r="O9" i="2"/>
  <c r="O10" i="2" s="1"/>
  <c r="O11" i="2" s="1"/>
  <c r="O27" i="2"/>
  <c r="N49" i="2"/>
  <c r="N44" i="2"/>
  <c r="N29" i="2"/>
  <c r="O48" i="2"/>
  <c r="O42" i="2"/>
  <c r="P5" i="2"/>
  <c r="L32" i="2"/>
  <c r="M30" i="2"/>
  <c r="U6" i="2"/>
  <c r="L36" i="2" l="1"/>
  <c r="L37" i="2" s="1"/>
  <c r="P28" i="2"/>
  <c r="K50" i="2"/>
  <c r="L50" i="2" s="1"/>
  <c r="M50" i="2" s="1"/>
  <c r="N50" i="2" s="1"/>
  <c r="O50" i="2" s="1"/>
  <c r="U47" i="2"/>
  <c r="U40" i="2"/>
  <c r="U41" i="2" s="1"/>
  <c r="P27" i="2"/>
  <c r="P9" i="2"/>
  <c r="P10" i="2" s="1"/>
  <c r="P11" i="2" s="1"/>
  <c r="O44" i="2"/>
  <c r="O29" i="2"/>
  <c r="O49" i="2"/>
  <c r="P48" i="2"/>
  <c r="Q5" i="2"/>
  <c r="P42" i="2"/>
  <c r="M32" i="2"/>
  <c r="N30" i="2"/>
  <c r="V6" i="2"/>
  <c r="Q28" i="2" l="1"/>
  <c r="M36" i="2"/>
  <c r="M37" i="2" s="1"/>
  <c r="V47" i="2"/>
  <c r="V40" i="2"/>
  <c r="V41" i="2" s="1"/>
  <c r="Q27" i="2"/>
  <c r="Q9" i="2"/>
  <c r="Q10" i="2" s="1"/>
  <c r="P44" i="2"/>
  <c r="P50" i="2"/>
  <c r="P29" i="2"/>
  <c r="P49" i="2"/>
  <c r="Q48" i="2"/>
  <c r="R5" i="2"/>
  <c r="Q42" i="2"/>
  <c r="O30" i="2"/>
  <c r="N32" i="2"/>
  <c r="W6" i="2"/>
  <c r="R28" i="2" l="1"/>
  <c r="N36" i="2"/>
  <c r="N37" i="2" s="1"/>
  <c r="Q44" i="2"/>
  <c r="W40" i="2"/>
  <c r="W41" i="2" s="1"/>
  <c r="W47" i="2"/>
  <c r="R9" i="2"/>
  <c r="R10" i="2" s="1"/>
  <c r="R27" i="2"/>
  <c r="Q50" i="2"/>
  <c r="Q49" i="2"/>
  <c r="Q11" i="2"/>
  <c r="Q29" i="2" s="1"/>
  <c r="R48" i="2"/>
  <c r="S5" i="2"/>
  <c r="R42" i="2"/>
  <c r="O32" i="2"/>
  <c r="P30" i="2"/>
  <c r="X6" i="2"/>
  <c r="S28" i="2" l="1"/>
  <c r="O36" i="2"/>
  <c r="O37" i="2" s="1"/>
  <c r="X47" i="2"/>
  <c r="X40" i="2"/>
  <c r="X41" i="2" s="1"/>
  <c r="S27" i="2"/>
  <c r="S9" i="2"/>
  <c r="S10" i="2" s="1"/>
  <c r="R44" i="2"/>
  <c r="R50" i="2"/>
  <c r="R11" i="2"/>
  <c r="R29" i="2" s="1"/>
  <c r="S48" i="2"/>
  <c r="S42" i="2"/>
  <c r="T5" i="2"/>
  <c r="R49" i="2"/>
  <c r="Q30" i="2"/>
  <c r="P32" i="2"/>
  <c r="P36" i="2" s="1"/>
  <c r="P37" i="2" s="1"/>
  <c r="Y6" i="2"/>
  <c r="T28" i="2" l="1"/>
  <c r="Y40" i="2"/>
  <c r="Y41" i="2" s="1"/>
  <c r="Y47" i="2"/>
  <c r="T9" i="2"/>
  <c r="T10" i="2" s="1"/>
  <c r="T27" i="2"/>
  <c r="S11" i="2"/>
  <c r="S29" i="2" s="1"/>
  <c r="S44" i="2"/>
  <c r="S50" i="2"/>
  <c r="S49" i="2"/>
  <c r="T48" i="2"/>
  <c r="T42" i="2"/>
  <c r="U5" i="2"/>
  <c r="R30" i="2"/>
  <c r="Q32" i="2"/>
  <c r="Q36" i="2" s="1"/>
  <c r="Q37" i="2" s="1"/>
  <c r="Z6" i="2"/>
  <c r="U28" i="2" l="1"/>
  <c r="Z40" i="2"/>
  <c r="Z41" i="2" s="1"/>
  <c r="Z47" i="2"/>
  <c r="U27" i="2"/>
  <c r="U9" i="2"/>
  <c r="U10" i="2" s="1"/>
  <c r="T44" i="2"/>
  <c r="T49" i="2"/>
  <c r="T50" i="2"/>
  <c r="T11" i="2"/>
  <c r="T29" i="2" s="1"/>
  <c r="U48" i="2"/>
  <c r="U42" i="2"/>
  <c r="V5" i="2"/>
  <c r="S30" i="2"/>
  <c r="R32" i="2"/>
  <c r="R36" i="2" s="1"/>
  <c r="M43" i="2"/>
  <c r="AA6" i="2"/>
  <c r="V28" i="2" l="1"/>
  <c r="R37" i="2"/>
  <c r="AA40" i="2"/>
  <c r="AA41" i="2" s="1"/>
  <c r="AA47" i="2"/>
  <c r="V9" i="2"/>
  <c r="V10" i="2" s="1"/>
  <c r="V11" i="2" s="1"/>
  <c r="V27" i="2"/>
  <c r="U44" i="2"/>
  <c r="U49" i="2"/>
  <c r="U50" i="2"/>
  <c r="U11" i="2"/>
  <c r="U29" i="2" s="1"/>
  <c r="V48" i="2"/>
  <c r="V42" i="2"/>
  <c r="W5" i="2"/>
  <c r="S32" i="2"/>
  <c r="S36" i="2" s="1"/>
  <c r="T30" i="2"/>
  <c r="N43" i="2"/>
  <c r="AB6" i="2"/>
  <c r="W28" i="2" l="1"/>
  <c r="S37" i="2"/>
  <c r="AB47" i="2"/>
  <c r="AB40" i="2"/>
  <c r="AB41" i="2" s="1"/>
  <c r="W9" i="2"/>
  <c r="W10" i="2" s="1"/>
  <c r="W11" i="2" s="1"/>
  <c r="W27" i="2"/>
  <c r="V44" i="2"/>
  <c r="V49" i="2"/>
  <c r="V29" i="2"/>
  <c r="V50" i="2"/>
  <c r="W48" i="2"/>
  <c r="X5" i="2"/>
  <c r="W42" i="2"/>
  <c r="U30" i="2"/>
  <c r="T32" i="2"/>
  <c r="T36" i="2" s="1"/>
  <c r="O43" i="2"/>
  <c r="AC6" i="2"/>
  <c r="X28" i="2" l="1"/>
  <c r="T37" i="2"/>
  <c r="AC47" i="2"/>
  <c r="AC40" i="2"/>
  <c r="AC41" i="2" s="1"/>
  <c r="X27" i="2"/>
  <c r="X9" i="2"/>
  <c r="X10" i="2" s="1"/>
  <c r="X11" i="2" s="1"/>
  <c r="W44" i="2"/>
  <c r="W49" i="2"/>
  <c r="W29" i="2"/>
  <c r="X48" i="2"/>
  <c r="Y5" i="2"/>
  <c r="X42" i="2"/>
  <c r="W50" i="2"/>
  <c r="V30" i="2"/>
  <c r="U32" i="2"/>
  <c r="U36" i="2" s="1"/>
  <c r="P43" i="2"/>
  <c r="AD6" i="2"/>
  <c r="Y28" i="2" l="1"/>
  <c r="X44" i="2"/>
  <c r="U37" i="2"/>
  <c r="AD47" i="2"/>
  <c r="AD40" i="2"/>
  <c r="AD41" i="2" s="1"/>
  <c r="Y27" i="2"/>
  <c r="Y9" i="2"/>
  <c r="Y10" i="2" s="1"/>
  <c r="Y11" i="2" s="1"/>
  <c r="X49" i="2"/>
  <c r="X50" i="2"/>
  <c r="X29" i="2"/>
  <c r="Y48" i="2"/>
  <c r="Z5" i="2"/>
  <c r="Y42" i="2"/>
  <c r="W30" i="2"/>
  <c r="V32" i="2"/>
  <c r="V36" i="2" s="1"/>
  <c r="Q43" i="2"/>
  <c r="AE6" i="2"/>
  <c r="Z28" i="2" l="1"/>
  <c r="V37" i="2"/>
  <c r="AE47" i="2"/>
  <c r="AE40" i="2"/>
  <c r="AE41" i="2" s="1"/>
  <c r="Z9" i="2"/>
  <c r="Z10" i="2" s="1"/>
  <c r="Z27" i="2"/>
  <c r="Y44" i="2"/>
  <c r="Y50" i="2"/>
  <c r="Y49" i="2"/>
  <c r="Y29" i="2"/>
  <c r="Z48" i="2"/>
  <c r="Z42" i="2"/>
  <c r="AA5" i="2"/>
  <c r="W32" i="2"/>
  <c r="W36" i="2" s="1"/>
  <c r="X30" i="2"/>
  <c r="R43" i="2"/>
  <c r="AA28" i="2" l="1"/>
  <c r="W37" i="2"/>
  <c r="AA27" i="2"/>
  <c r="AA9" i="2"/>
  <c r="AA10" i="2" s="1"/>
  <c r="Z44" i="2"/>
  <c r="Z50" i="2"/>
  <c r="Z49" i="2"/>
  <c r="Z11" i="2"/>
  <c r="Z29" i="2" s="1"/>
  <c r="AA48" i="2"/>
  <c r="AB5" i="2"/>
  <c r="AA42" i="2"/>
  <c r="Y30" i="2"/>
  <c r="X32" i="2"/>
  <c r="X36" i="2" s="1"/>
  <c r="S43" i="2"/>
  <c r="AB28" i="2" l="1"/>
  <c r="X37" i="2"/>
  <c r="AB9" i="2"/>
  <c r="AB10" i="2" s="1"/>
  <c r="AB27" i="2"/>
  <c r="AA44" i="2"/>
  <c r="AA49" i="2"/>
  <c r="AA11" i="2"/>
  <c r="AA29" i="2" s="1"/>
  <c r="AB48" i="2"/>
  <c r="AC5" i="2"/>
  <c r="AB42" i="2"/>
  <c r="AA50" i="2"/>
  <c r="Z30" i="2"/>
  <c r="Y32" i="2"/>
  <c r="Y36" i="2" s="1"/>
  <c r="T43" i="2"/>
  <c r="AC28" i="2" l="1"/>
  <c r="Y37" i="2"/>
  <c r="AC27" i="2"/>
  <c r="AC9" i="2"/>
  <c r="AC10" i="2" s="1"/>
  <c r="AC11" i="2" s="1"/>
  <c r="AB44" i="2"/>
  <c r="AB50" i="2"/>
  <c r="AB49" i="2"/>
  <c r="AB11" i="2"/>
  <c r="AB29" i="2" s="1"/>
  <c r="AC48" i="2"/>
  <c r="AC42" i="2"/>
  <c r="AD5" i="2"/>
  <c r="Z32" i="2"/>
  <c r="Z36" i="2" s="1"/>
  <c r="AA30" i="2"/>
  <c r="U43" i="2"/>
  <c r="AD28" i="2" l="1"/>
  <c r="AC50" i="2"/>
  <c r="Z37" i="2"/>
  <c r="AD9" i="2"/>
  <c r="AD10" i="2" s="1"/>
  <c r="AD27" i="2"/>
  <c r="AC44" i="2"/>
  <c r="AC49" i="2"/>
  <c r="AC29" i="2"/>
  <c r="AD48" i="2"/>
  <c r="AD42" i="2"/>
  <c r="AE5" i="2"/>
  <c r="AB30" i="2"/>
  <c r="AA32" i="2"/>
  <c r="AA36" i="2" s="1"/>
  <c r="V43" i="2"/>
  <c r="W43" i="2" s="1"/>
  <c r="AE28" i="2" l="1"/>
  <c r="AA37" i="2"/>
  <c r="AE27" i="2"/>
  <c r="AE9" i="2"/>
  <c r="AE10" i="2" s="1"/>
  <c r="AE11" i="2" s="1"/>
  <c r="AD44" i="2"/>
  <c r="AD11" i="2"/>
  <c r="AD29" i="2" s="1"/>
  <c r="AD49" i="2"/>
  <c r="AE48" i="2"/>
  <c r="AE42" i="2"/>
  <c r="AD50" i="2"/>
  <c r="AC30" i="2"/>
  <c r="AB32" i="2"/>
  <c r="AB36" i="2" s="1"/>
  <c r="AB37" i="2" l="1"/>
  <c r="AE44" i="2"/>
  <c r="AE50" i="2"/>
  <c r="AE49" i="2"/>
  <c r="AE29" i="2"/>
  <c r="AD30" i="2"/>
  <c r="AC32" i="2"/>
  <c r="AC36" i="2" s="1"/>
  <c r="X43" i="2"/>
  <c r="AC37" i="2" l="1"/>
  <c r="AD32" i="2"/>
  <c r="AD36" i="2" s="1"/>
  <c r="AE30" i="2"/>
  <c r="AE32" i="2" s="1"/>
  <c r="AE36" i="2" s="1"/>
  <c r="Y43" i="2"/>
  <c r="AE37" i="2" l="1"/>
  <c r="AD37" i="2"/>
  <c r="Z43" i="2"/>
  <c r="AA43" i="2" l="1"/>
  <c r="AB43" i="2" l="1"/>
  <c r="AC43" i="2" l="1"/>
  <c r="AD43" i="2" l="1"/>
  <c r="AE43" i="2" l="1"/>
</calcChain>
</file>

<file path=xl/sharedStrings.xml><?xml version="1.0" encoding="utf-8"?>
<sst xmlns="http://schemas.openxmlformats.org/spreadsheetml/2006/main" count="163" uniqueCount="68">
  <si>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</si>
  <si>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</si>
  <si>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</si>
  <si>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</si>
  <si>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>1. Площадь помещений, на которую начисляются взносы на КР, кв. м</t>
  </si>
  <si>
    <t xml:space="preserve">Блок В. Расчетные показатели 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</si>
  <si>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</si>
  <si>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</si>
  <si>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</si>
  <si>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</si>
  <si>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</si>
  <si>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</si>
  <si>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</si>
  <si>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</si>
  <si>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</si>
  <si>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</si>
  <si>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</si>
  <si>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</si>
  <si>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</si>
  <si>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</si>
  <si>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</si>
  <si>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</si>
  <si>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</si>
  <si>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</si>
  <si>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</si>
  <si>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Суммарный взнос на КР, руб./кв.м. в месяц</t>
  </si>
  <si>
    <t>-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</si>
  <si>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</si>
  <si>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</si>
  <si>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</si>
  <si>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</si>
  <si>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</si>
  <si>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5. Расходы на работы по КР, руб.  </t>
  </si>
  <si>
    <t>2. Установленный решением субъекта РФ минимальный размер взноса на КР, руб./кв. м в месяц</t>
  </si>
  <si>
    <t>11.8. РАБОТА 8</t>
  </si>
  <si>
    <t>11.9. РАБОТА 9</t>
  </si>
  <si>
    <t xml:space="preserve">12. Цепные индексы-дефляторы для прогноза стоимости работ по КР в будущие периоды </t>
  </si>
  <si>
    <t xml:space="preserve">11.2. Ремонт внутридомовых инженерных систем ГВС и ХВС (стояки) - 2029 год </t>
  </si>
  <si>
    <t xml:space="preserve">11.3. Ремонт внутридомвых систем водоотведения (канализация) - 2032 год </t>
  </si>
  <si>
    <t xml:space="preserve">11.4. Ремонт внутридомовых систем отопления - 2036 год </t>
  </si>
  <si>
    <t xml:space="preserve">11.5. Ремонт кровли - 2038 год </t>
  </si>
  <si>
    <t>11.6. Ремонт фасада - 2040 год</t>
  </si>
  <si>
    <t xml:space="preserve">11.1. Замена лифтов - 2022 год </t>
  </si>
  <si>
    <t>11.7. Ремонт внутридомовых систем электроснабжения - 2044</t>
  </si>
  <si>
    <t xml:space="preserve">3. Дополнительный взнос на КР, установленный ОСС (при наличии), руб./кв. м </t>
  </si>
  <si>
    <t>ФИНАНСОВАЯ МОДЕЛЬ 2. Долгосрочное планирование капремонта МКД. ПРИМЕР 1.</t>
  </si>
  <si>
    <r>
      <t xml:space="preserve">10. Стоимость выполненных работ по КР в период </t>
    </r>
    <r>
      <rPr>
        <u/>
        <sz val="11"/>
        <color theme="1"/>
        <rFont val="Times New Roman"/>
        <family val="1"/>
      </rPr>
      <t>до 2021 года включительно,</t>
    </r>
    <r>
      <rPr>
        <sz val="11"/>
        <color theme="1"/>
        <rFont val="Times New Roman"/>
        <family val="1"/>
        <charset val="204"/>
      </rPr>
      <t xml:space="preserve"> руб. </t>
    </r>
    <r>
      <rPr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</si>
  <si>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9. Дополнительные годовые поступления на спец. счет (проценты по депозиту, плата за сдачу в аренду общедомового имущества и др.), руб. </t>
  </si>
  <si>
    <t xml:space="preserve">11. Перечень работ по КР и их стоимость на текущий момент и в год проведения работ по КР, руб.: 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</si>
  <si>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</si>
  <si>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</si>
  <si>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t xml:space="preserve">3. Размер задолженности по взносам на КР накопленным итогом, руб. </t>
  </si>
  <si>
    <t>4. Остаток средств на спец. счете на конец года с учетом расходования средств на проведение работ по КР, руб.</t>
  </si>
  <si>
    <t>6. Оценка достаточности средств на спец. счете для проведения работ по КР (дефицит(-) / профицит(+) средств), руб.</t>
  </si>
  <si>
    <t>Блок С. Варианты восполнения дефицита средств для финансирования КР</t>
  </si>
  <si>
    <t xml:space="preserve">Продолжительность периода уплаты доп. взноса на КР (не более 12 мес.), мес. </t>
  </si>
  <si>
    <t xml:space="preserve">Размер доп. взноса на КР в зависимости от продолжительности периода его уплаты, руб./кв. м в месяц </t>
  </si>
  <si>
    <t>Доля доп. взноса от минимального  размера взноса на КР, %</t>
  </si>
  <si>
    <t>Размер доп. взноса в денежном выражении, руб./кв. м в месяц</t>
  </si>
  <si>
    <t xml:space="preserve">Годовые поступления на спец. счет с учетом уровня собираемости взносов и доп. взноса на КР, руб. </t>
  </si>
  <si>
    <t xml:space="preserve">Остаток средств на спец. счете с учетом расходов на выполненные работы по КР, руб. </t>
  </si>
  <si>
    <t>2. Установление дополнительного взноса на КР в размере определенной доли от минимального размера взноса на КР</t>
  </si>
  <si>
    <t>3. Установление фиксированного  значения дополнительного взноса на КР в денежном выражении</t>
  </si>
  <si>
    <t xml:space="preserve">Размер дополнительного взноса на КР, руб./кв. м в месяц </t>
  </si>
  <si>
    <t xml:space="preserve">Суммарный взнос на КР, руб./кв. м в месяц </t>
  </si>
  <si>
    <t xml:space="preserve">Годовые поступления на специальный счет с учетом уровня собираемости взносов и доп. взноса на КР, руб. </t>
  </si>
  <si>
    <t xml:space="preserve">Размер поступлений на спец. счет накопленным итогом, руб. </t>
  </si>
  <si>
    <t xml:space="preserve">1. Установление дополнительного взноса на КР  на срок до 12 месяцев  для полного покрытия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</si>
</sst>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_ ;[Red]\-#,##0.00\ "/>
  </numFmts>
  <fonts count="18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2" xfId="1" applyFont="1" applyBorder="1"/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/>
    </xf>
    <xf numFmtId="164" fontId="2" fillId="2" borderId="0" xfId="3" applyNumberFormat="1" applyFont="1" applyFill="1" applyBorder="1" applyAlignment="1">
      <alignment horizontal="center" vertical="center"/>
    </xf>
    <xf numFmtId="164" fontId="2" fillId="3" borderId="0" xfId="3" applyNumberFormat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164" fontId="2" fillId="5" borderId="2" xfId="3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 indent="1"/>
    </xf>
    <xf numFmtId="0" fontId="2" fillId="3" borderId="2" xfId="1" applyFont="1" applyFill="1" applyBorder="1"/>
    <xf numFmtId="165" fontId="2" fillId="3" borderId="0" xfId="1" applyNumberFormat="1" applyFont="1" applyFill="1" applyBorder="1" applyAlignment="1"/>
    <xf numFmtId="9" fontId="2" fillId="3" borderId="0" xfId="1" applyNumberFormat="1" applyFont="1" applyFill="1" applyBorder="1" applyAlignment="1"/>
    <xf numFmtId="0" fontId="2" fillId="3" borderId="0" xfId="1" applyFont="1" applyFill="1" applyBorder="1" applyAlignment="1"/>
    <xf numFmtId="0" fontId="2" fillId="3" borderId="0" xfId="1" applyFont="1" applyFill="1" applyBorder="1"/>
    <xf numFmtId="164" fontId="2" fillId="3" borderId="0" xfId="1" applyNumberFormat="1" applyFont="1" applyFill="1" applyBorder="1"/>
    <xf numFmtId="0" fontId="2" fillId="5" borderId="2" xfId="1" applyFont="1" applyFill="1" applyBorder="1" applyAlignment="1"/>
    <xf numFmtId="0" fontId="2" fillId="5" borderId="2" xfId="1" applyFont="1" applyFill="1" applyBorder="1"/>
    <xf numFmtId="0" fontId="7" fillId="2" borderId="0" xfId="1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 wrapText="1"/>
    </xf>
    <xf numFmtId="164" fontId="8" fillId="5" borderId="0" xfId="1" applyNumberFormat="1" applyFont="1" applyFill="1" applyBorder="1" applyAlignment="1">
      <alignment horizontal="center" vertical="center"/>
    </xf>
    <xf numFmtId="0" fontId="9" fillId="11" borderId="3" xfId="1" applyFont="1" applyFill="1" applyBorder="1"/>
    <xf numFmtId="0" fontId="2" fillId="5" borderId="4" xfId="1" applyFont="1" applyFill="1" applyBorder="1"/>
    <xf numFmtId="164" fontId="2" fillId="5" borderId="5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left" wrapText="1"/>
    </xf>
    <xf numFmtId="0" fontId="2" fillId="9" borderId="2" xfId="1" applyFont="1" applyFill="1" applyBorder="1" applyAlignment="1">
      <alignment horizontal="center" vertical="center"/>
    </xf>
    <xf numFmtId="38" fontId="4" fillId="10" borderId="2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left" wrapText="1" indent="1"/>
    </xf>
    <xf numFmtId="0" fontId="2" fillId="9" borderId="0" xfId="1" applyFont="1" applyFill="1" applyBorder="1" applyAlignment="1">
      <alignment horizontal="center" vertical="center"/>
    </xf>
    <xf numFmtId="38" fontId="2" fillId="10" borderId="0" xfId="1" applyNumberFormat="1" applyFont="1" applyFill="1" applyBorder="1" applyAlignment="1">
      <alignment horizontal="center" vertical="center"/>
    </xf>
    <xf numFmtId="38" fontId="2" fillId="10" borderId="5" xfId="1" applyNumberFormat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left" wrapText="1" indent="1"/>
    </xf>
    <xf numFmtId="0" fontId="2" fillId="9" borderId="7" xfId="1" applyFont="1" applyFill="1" applyBorder="1" applyAlignment="1">
      <alignment horizontal="center" vertical="center"/>
    </xf>
    <xf numFmtId="38" fontId="2" fillId="10" borderId="7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/>
    <xf numFmtId="0" fontId="9" fillId="12" borderId="3" xfId="1" applyFont="1" applyFill="1" applyBorder="1"/>
    <xf numFmtId="0" fontId="2" fillId="3" borderId="4" xfId="1" applyFont="1" applyFill="1" applyBorder="1"/>
    <xf numFmtId="0" fontId="2" fillId="3" borderId="5" xfId="1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/>
    <xf numFmtId="9" fontId="2" fillId="3" borderId="5" xfId="1" applyNumberFormat="1" applyFont="1" applyFill="1" applyBorder="1" applyAlignment="1"/>
    <xf numFmtId="164" fontId="2" fillId="3" borderId="5" xfId="3" applyNumberFormat="1" applyFont="1" applyFill="1" applyBorder="1" applyAlignment="1">
      <alignment horizontal="center" vertical="center"/>
    </xf>
    <xf numFmtId="9" fontId="2" fillId="3" borderId="5" xfId="2" applyFont="1" applyFill="1" applyBorder="1" applyAlignment="1">
      <alignment horizontal="center" vertical="center" wrapText="1"/>
    </xf>
    <xf numFmtId="0" fontId="2" fillId="3" borderId="5" xfId="1" applyFont="1" applyFill="1" applyBorder="1"/>
    <xf numFmtId="0" fontId="2" fillId="2" borderId="6" xfId="1" applyFont="1" applyFill="1" applyBorder="1" applyAlignment="1">
      <alignment horizontal="left" vertical="center" wrapText="1"/>
    </xf>
    <xf numFmtId="9" fontId="2" fillId="2" borderId="7" xfId="2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/>
    </xf>
    <xf numFmtId="2" fontId="5" fillId="6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/>
    </xf>
    <xf numFmtId="38" fontId="6" fillId="5" borderId="7" xfId="1" applyNumberFormat="1" applyFont="1" applyFill="1" applyBorder="1" applyAlignment="1">
      <alignment horizontal="center" vertical="center"/>
    </xf>
    <xf numFmtId="0" fontId="9" fillId="7" borderId="10" xfId="1" applyFont="1" applyFill="1" applyBorder="1" applyAlignment="1">
      <alignment horizontal="left" wrapText="1"/>
    </xf>
    <xf numFmtId="0" fontId="2" fillId="10" borderId="2" xfId="1" applyFont="1" applyFill="1" applyBorder="1"/>
    <xf numFmtId="164" fontId="2" fillId="10" borderId="2" xfId="1" applyNumberFormat="1" applyFont="1" applyFill="1" applyBorder="1"/>
    <xf numFmtId="164" fontId="2" fillId="10" borderId="4" xfId="1" applyNumberFormat="1" applyFont="1" applyFill="1" applyBorder="1"/>
    <xf numFmtId="0" fontId="4" fillId="8" borderId="11" xfId="1" applyFont="1" applyFill="1" applyBorder="1" applyAlignment="1">
      <alignment horizontal="left" wrapText="1"/>
    </xf>
    <xf numFmtId="166" fontId="2" fillId="10" borderId="0" xfId="1" applyNumberFormat="1" applyFont="1" applyFill="1" applyBorder="1" applyAlignment="1">
      <alignment horizontal="center" vertical="center"/>
    </xf>
    <xf numFmtId="166" fontId="2" fillId="10" borderId="5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11" fillId="2" borderId="0" xfId="2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left" vertical="center" wrapText="1"/>
    </xf>
    <xf numFmtId="3" fontId="7" fillId="3" borderId="0" xfId="2" applyNumberFormat="1" applyFont="1" applyFill="1" applyBorder="1" applyAlignment="1">
      <alignment horizontal="center" vertical="center"/>
    </xf>
    <xf numFmtId="3" fontId="7" fillId="3" borderId="5" xfId="2" applyNumberFormat="1" applyFont="1" applyFill="1" applyBorder="1" applyAlignment="1">
      <alignment horizontal="center" vertical="center" wrapText="1"/>
    </xf>
    <xf numFmtId="3" fontId="2" fillId="0" borderId="0" xfId="1" applyNumberFormat="1" applyFont="1" applyBorder="1"/>
    <xf numFmtId="164" fontId="2" fillId="3" borderId="0" xfId="1" applyNumberFormat="1" applyFont="1" applyFill="1" applyBorder="1" applyAlignment="1">
      <alignment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5" borderId="0" xfId="1" applyNumberFormat="1" applyFont="1" applyFill="1" applyBorder="1" applyAlignment="1">
      <alignment horizontal="center" vertical="center"/>
    </xf>
    <xf numFmtId="164" fontId="2" fillId="9" borderId="0" xfId="1" applyNumberFormat="1" applyFont="1" applyFill="1" applyBorder="1" applyAlignment="1">
      <alignment horizontal="center" vertical="center"/>
    </xf>
    <xf numFmtId="3" fontId="4" fillId="6" borderId="0" xfId="3" applyNumberFormat="1" applyFont="1" applyFill="1" applyBorder="1" applyAlignment="1">
      <alignment horizontal="center" vertical="center"/>
    </xf>
    <xf numFmtId="9" fontId="7" fillId="10" borderId="0" xfId="4" applyFont="1" applyFill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vertical="center"/>
    </xf>
    <xf numFmtId="164" fontId="2" fillId="3" borderId="5" xfId="1" applyNumberFormat="1" applyFont="1" applyFill="1" applyBorder="1"/>
    <xf numFmtId="38" fontId="6" fillId="5" borderId="8" xfId="1" applyNumberFormat="1" applyFont="1" applyFill="1" applyBorder="1" applyAlignment="1">
      <alignment horizontal="center" vertical="center"/>
    </xf>
    <xf numFmtId="9" fontId="7" fillId="10" borderId="5" xfId="4" applyFont="1" applyFill="1" applyBorder="1" applyAlignment="1">
      <alignment horizontal="center" vertical="center"/>
    </xf>
    <xf numFmtId="38" fontId="2" fillId="10" borderId="8" xfId="1" applyNumberFormat="1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wrapText="1"/>
    </xf>
    <xf numFmtId="3" fontId="2" fillId="5" borderId="5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 wrapText="1"/>
    </xf>
    <xf numFmtId="2" fontId="4" fillId="6" borderId="0" xfId="1" applyNumberFormat="1" applyFont="1" applyFill="1" applyBorder="1" applyAlignment="1">
      <alignment horizontal="center" vertical="center" wrapText="1"/>
    </xf>
    <xf numFmtId="3" fontId="2" fillId="2" borderId="0" xfId="3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/>
    </xf>
    <xf numFmtId="3" fontId="2" fillId="3" borderId="5" xfId="3" applyNumberFormat="1" applyFont="1" applyFill="1" applyBorder="1" applyAlignment="1">
      <alignment horizontal="center" vertical="center"/>
    </xf>
    <xf numFmtId="3" fontId="15" fillId="5" borderId="0" xfId="1" applyNumberFormat="1" applyFont="1" applyFill="1" applyBorder="1" applyAlignment="1">
      <alignment horizontal="center" vertical="center"/>
    </xf>
    <xf numFmtId="3" fontId="15" fillId="5" borderId="5" xfId="1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/>
    </xf>
    <xf numFmtId="0" fontId="7" fillId="3" borderId="0" xfId="2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8" fontId="7" fillId="10" borderId="0" xfId="1" applyNumberFormat="1" applyFont="1" applyFill="1" applyBorder="1" applyAlignment="1">
      <alignment horizontal="center" vertical="center"/>
    </xf>
    <xf numFmtId="0" fontId="14" fillId="0" borderId="0" xfId="1" applyFont="1"/>
    <xf numFmtId="38" fontId="7" fillId="10" borderId="5" xfId="1" applyNumberFormat="1" applyFont="1" applyFill="1" applyBorder="1" applyAlignment="1">
      <alignment horizontal="center" vertical="center"/>
    </xf>
    <xf numFmtId="4" fontId="2" fillId="10" borderId="0" xfId="1" applyNumberFormat="1" applyFont="1" applyFill="1" applyBorder="1" applyAlignment="1">
      <alignment horizontal="center" vertical="center"/>
    </xf>
    <xf numFmtId="4" fontId="2" fillId="10" borderId="5" xfId="1" applyNumberFormat="1" applyFont="1" applyFill="1" applyBorder="1" applyAlignment="1">
      <alignment horizontal="center" vertical="center"/>
    </xf>
    <xf numFmtId="4" fontId="2" fillId="0" borderId="0" xfId="1" applyNumberFormat="1" applyFont="1"/>
    <xf numFmtId="2" fontId="15" fillId="10" borderId="0" xfId="4" applyNumberFormat="1" applyFont="1" applyFill="1" applyBorder="1" applyAlignment="1">
      <alignment horizontal="center" vertical="center"/>
    </xf>
    <xf numFmtId="2" fontId="15" fillId="10" borderId="5" xfId="4" applyNumberFormat="1" applyFont="1" applyFill="1" applyBorder="1" applyAlignment="1">
      <alignment horizontal="center" vertical="center"/>
    </xf>
    <xf numFmtId="167" fontId="2" fillId="10" borderId="0" xfId="1" applyNumberFormat="1" applyFont="1" applyFill="1" applyBorder="1" applyAlignment="1">
      <alignment horizontal="center" vertical="center"/>
    </xf>
    <xf numFmtId="167" fontId="2" fillId="10" borderId="5" xfId="1" applyNumberFormat="1" applyFont="1" applyFill="1" applyBorder="1" applyAlignment="1">
      <alignment horizontal="center" vertical="center"/>
    </xf>
    <xf numFmtId="0" fontId="16" fillId="0" borderId="0" xfId="0" applyFont="1"/>
    <xf numFmtId="0" fontId="4" fillId="2" borderId="0" xfId="1" applyFont="1" applyFill="1" applyBorder="1" applyAlignment="1">
      <alignment horizontal="center" vertical="center" wrapText="1"/>
    </xf>
    <xf numFmtId="2" fontId="2" fillId="10" borderId="0" xfId="1" applyNumberFormat="1" applyFont="1" applyFill="1" applyBorder="1" applyAlignment="1">
      <alignment horizontal="center" vertical="center"/>
    </xf>
    <xf numFmtId="4" fontId="2" fillId="9" borderId="1" xfId="1" applyNumberFormat="1" applyFont="1" applyFill="1" applyBorder="1" applyAlignment="1">
      <alignment horizontal="left" wrapText="1" indent="1"/>
    </xf>
    <xf numFmtId="4" fontId="2" fillId="9" borderId="0" xfId="1" applyNumberFormat="1" applyFont="1" applyFill="1" applyBorder="1" applyAlignment="1">
      <alignment horizontal="center" vertical="center"/>
    </xf>
    <xf numFmtId="2" fontId="2" fillId="9" borderId="1" xfId="1" applyNumberFormat="1" applyFont="1" applyFill="1" applyBorder="1" applyAlignment="1">
      <alignment horizontal="left" wrapText="1" indent="1"/>
    </xf>
    <xf numFmtId="2" fontId="2" fillId="9" borderId="0" xfId="1" applyNumberFormat="1" applyFont="1" applyFill="1" applyBorder="1" applyAlignment="1">
      <alignment horizontal="center" vertical="center"/>
    </xf>
    <xf numFmtId="2" fontId="4" fillId="10" borderId="0" xfId="1" applyNumberFormat="1" applyFont="1" applyFill="1" applyBorder="1" applyAlignment="1">
      <alignment horizontal="center" vertical="center"/>
    </xf>
    <xf numFmtId="2" fontId="4" fillId="10" borderId="5" xfId="1" applyNumberFormat="1" applyFont="1" applyFill="1" applyBorder="1" applyAlignment="1">
      <alignment horizontal="center" vertical="center"/>
    </xf>
    <xf numFmtId="2" fontId="2" fillId="0" borderId="0" xfId="1" applyNumberFormat="1" applyFont="1"/>
    <xf numFmtId="0" fontId="4" fillId="8" borderId="13" xfId="1" applyFont="1" applyFill="1" applyBorder="1" applyAlignment="1">
      <alignment horizontal="left" wrapText="1"/>
    </xf>
    <xf numFmtId="164" fontId="2" fillId="9" borderId="7" xfId="1" applyNumberFormat="1" applyFont="1" applyFill="1" applyBorder="1" applyAlignment="1">
      <alignment horizontal="center" vertical="center"/>
    </xf>
    <xf numFmtId="2" fontId="2" fillId="10" borderId="7" xfId="1" applyNumberFormat="1" applyFont="1" applyFill="1" applyBorder="1" applyAlignment="1">
      <alignment horizontal="center" vertical="center"/>
    </xf>
    <xf numFmtId="0" fontId="2" fillId="10" borderId="7" xfId="1" applyNumberFormat="1" applyFont="1" applyFill="1" applyBorder="1" applyAlignment="1">
      <alignment horizontal="center" vertical="center"/>
    </xf>
    <xf numFmtId="4" fontId="2" fillId="10" borderId="7" xfId="1" applyNumberFormat="1" applyFont="1" applyFill="1" applyBorder="1" applyAlignment="1">
      <alignment horizontal="center" vertical="center"/>
    </xf>
    <xf numFmtId="4" fontId="2" fillId="10" borderId="8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horizontal="left" wrapText="1"/>
    </xf>
    <xf numFmtId="3" fontId="4" fillId="6" borderId="14" xfId="3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vertical="center"/>
    </xf>
    <xf numFmtId="164" fontId="2" fillId="3" borderId="14" xfId="1" applyNumberFormat="1" applyFont="1" applyFill="1" applyBorder="1"/>
    <xf numFmtId="164" fontId="2" fillId="3" borderId="14" xfId="3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0" fillId="0" borderId="0" xfId="0" applyAlignment="1"/>
  </cellXfs>
  <cellStyles count="5">
    <cellStyle name="Обычный" xfId="0" builtinId="0"/>
    <cellStyle name="Обычный 2" xfId="1" xr:uid="{00000000-0005-0000-0000-000001000000}"/>
    <cellStyle name="Процентный" xfId="4" builtinId="5"/>
    <cellStyle name="Процентный 2" xfId="2" xr:uid="{00000000-0005-0000-0000-000003000000}"/>
    <cellStyle name="Финансовый 2" xfId="3" xr:uid="{00000000-0005-0000-0000-000004000000}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4"/>
  <sheetViews>
    <sheetView tabSelected="1" zoomScale="89" zoomScaleNormal="89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6" sqref="A36"/>
    </sheetView>
  </sheetViews>
  <sheetFormatPr baseColWidth="10" defaultColWidth="9.7109375" defaultRowHeight="14" x14ac:dyDescent="0.15"/>
  <cols>
    <col min="1" max="1" width="48.85546875" style="1" customWidth="1"/>
    <col min="2" max="2" width="11.28515625" style="21" customWidth="1"/>
    <col min="3" max="3" width="11.7109375" style="21" customWidth="1"/>
    <col min="4" max="4" width="11.28515625" style="21" customWidth="1"/>
    <col min="5" max="7" width="10.7109375" style="21" customWidth="1"/>
    <col min="8" max="8" width="11.7109375" style="21" customWidth="1"/>
    <col min="9" max="9" width="10.7109375" style="21" customWidth="1"/>
    <col min="10" max="10" width="11.5703125" style="21" customWidth="1"/>
    <col min="11" max="11" width="11" style="21" customWidth="1"/>
    <col min="12" max="12" width="11.28515625" style="21" customWidth="1"/>
    <col min="13" max="13" width="10.85546875" style="1" customWidth="1"/>
    <col min="14" max="14" width="11" style="1" customWidth="1"/>
    <col min="15" max="15" width="11.7109375" style="1" customWidth="1"/>
    <col min="16" max="16" width="11.5703125" style="1" customWidth="1"/>
    <col min="17" max="17" width="13.28515625" style="1" customWidth="1"/>
    <col min="18" max="18" width="13" style="1" customWidth="1"/>
    <col min="19" max="19" width="13.7109375" style="1" customWidth="1"/>
    <col min="20" max="20" width="11.85546875" style="1" customWidth="1"/>
    <col min="21" max="21" width="12.5703125" style="1" customWidth="1"/>
    <col min="22" max="22" width="12.140625" style="1" customWidth="1"/>
    <col min="23" max="23" width="12.140625" style="1" bestFit="1" customWidth="1"/>
    <col min="24" max="24" width="11.85546875" style="1" customWidth="1"/>
    <col min="25" max="25" width="10.85546875" style="1" customWidth="1"/>
    <col min="26" max="26" width="12.85546875" style="1" customWidth="1"/>
    <col min="27" max="27" width="12.140625" style="1" bestFit="1" customWidth="1"/>
    <col min="28" max="28" width="11.7109375" style="1" customWidth="1"/>
    <col min="29" max="29" width="11.5703125" style="1" customWidth="1"/>
    <col min="30" max="30" width="12.7109375" style="1" customWidth="1"/>
    <col min="31" max="31" width="13" style="1" customWidth="1"/>
    <col min="32" max="16384" width="9.7109375" style="1"/>
  </cols>
  <sheetData>
    <row r="2" spans="1:31" ht="30.5" customHeight="1" x14ac:dyDescent="0.2">
      <c r="A2" s="143" t="s">
        <v>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31" ht="39" customHeight="1" thickBot="1" x14ac:dyDescent="0.25">
      <c r="A3" s="97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  <c r="J3" s="4" t="s">
        <v>2</v>
      </c>
      <c r="K3" s="4" t="s">
        <v>1</v>
      </c>
      <c r="L3" s="4" t="s">
        <v>0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</row>
    <row r="4" spans="1:31" s="3" customFormat="1" ht="15" thickBot="1" x14ac:dyDescent="0.2">
      <c r="A4" s="54" t="s">
        <v>3</v>
      </c>
      <c r="B4" s="5"/>
      <c r="C4" s="5"/>
      <c r="D4" s="5"/>
      <c r="E4" s="5"/>
      <c r="F4" s="5"/>
      <c r="G4" s="5"/>
      <c r="H4" s="5"/>
      <c r="I4" s="19"/>
      <c r="J4" s="6"/>
      <c r="K4" s="6"/>
      <c r="L4" s="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55"/>
    </row>
    <row r="5" spans="1:31" s="2" customFormat="1" ht="31" thickTop="1" x14ac:dyDescent="0.15">
      <c r="A5" s="23" t="s">
        <v>4</v>
      </c>
      <c r="B5" s="34">
        <v>3500</v>
      </c>
      <c r="C5" s="7">
        <f t="shared" ref="C5:L5" si="0">B5</f>
        <v>3500</v>
      </c>
      <c r="D5" s="7">
        <f t="shared" si="0"/>
        <v>3500</v>
      </c>
      <c r="E5" s="7">
        <f t="shared" si="0"/>
        <v>3500</v>
      </c>
      <c r="F5" s="7">
        <f t="shared" si="0"/>
        <v>3500</v>
      </c>
      <c r="G5" s="7">
        <f t="shared" si="0"/>
        <v>3500</v>
      </c>
      <c r="H5" s="7">
        <f t="shared" si="0"/>
        <v>3500</v>
      </c>
      <c r="I5" s="20">
        <f t="shared" si="0"/>
        <v>3500</v>
      </c>
      <c r="J5" s="8">
        <f t="shared" si="0"/>
        <v>3500</v>
      </c>
      <c r="K5" s="8">
        <f t="shared" si="0"/>
        <v>3500</v>
      </c>
      <c r="L5" s="8">
        <f t="shared" si="0"/>
        <v>3500</v>
      </c>
      <c r="M5" s="8">
        <f t="shared" ref="M5" si="1">L5</f>
        <v>3500</v>
      </c>
      <c r="N5" s="8">
        <f t="shared" ref="N5" si="2">M5</f>
        <v>3500</v>
      </c>
      <c r="O5" s="8">
        <f t="shared" ref="O5" si="3">N5</f>
        <v>3500</v>
      </c>
      <c r="P5" s="8">
        <f t="shared" ref="P5" si="4">O5</f>
        <v>3500</v>
      </c>
      <c r="Q5" s="8">
        <f t="shared" ref="Q5" si="5">P5</f>
        <v>3500</v>
      </c>
      <c r="R5" s="8">
        <f t="shared" ref="R5" si="6">Q5</f>
        <v>3500</v>
      </c>
      <c r="S5" s="8">
        <f t="shared" ref="S5" si="7">R5</f>
        <v>3500</v>
      </c>
      <c r="T5" s="8">
        <f t="shared" ref="T5" si="8">S5</f>
        <v>3500</v>
      </c>
      <c r="U5" s="8">
        <f t="shared" ref="U5" si="9">T5</f>
        <v>3500</v>
      </c>
      <c r="V5" s="8">
        <f t="shared" ref="V5" si="10">U5</f>
        <v>3500</v>
      </c>
      <c r="W5" s="8">
        <f t="shared" ref="W5" si="11">V5</f>
        <v>3500</v>
      </c>
      <c r="X5" s="8">
        <f t="shared" ref="X5" si="12">W5</f>
        <v>3500</v>
      </c>
      <c r="Y5" s="8">
        <f t="shared" ref="Y5" si="13">X5</f>
        <v>3500</v>
      </c>
      <c r="Z5" s="8">
        <f t="shared" ref="Z5" si="14">Y5</f>
        <v>3500</v>
      </c>
      <c r="AA5" s="8">
        <f t="shared" ref="AA5" si="15">Z5</f>
        <v>3500</v>
      </c>
      <c r="AB5" s="8">
        <f t="shared" ref="AB5" si="16">AA5</f>
        <v>3500</v>
      </c>
      <c r="AC5" s="8">
        <f t="shared" ref="AC5" si="17">AB5</f>
        <v>3500</v>
      </c>
      <c r="AD5" s="8">
        <f t="shared" ref="AD5" si="18">AC5</f>
        <v>3500</v>
      </c>
      <c r="AE5" s="56">
        <f t="shared" ref="AE5" si="19">AD5</f>
        <v>3500</v>
      </c>
    </row>
    <row r="6" spans="1:31" s="2" customFormat="1" ht="30" x14ac:dyDescent="0.15">
      <c r="A6" s="136" t="s">
        <v>33</v>
      </c>
      <c r="B6" s="121">
        <v>7.3</v>
      </c>
      <c r="C6" s="121">
        <v>7.3</v>
      </c>
      <c r="D6" s="121">
        <v>7.3</v>
      </c>
      <c r="E6" s="121">
        <v>7.3</v>
      </c>
      <c r="F6" s="121">
        <v>8.6999999999999993</v>
      </c>
      <c r="G6" s="121">
        <v>8.6999999999999993</v>
      </c>
      <c r="H6" s="121">
        <v>8.6999999999999993</v>
      </c>
      <c r="I6" s="100">
        <v>9</v>
      </c>
      <c r="J6" s="9">
        <f t="shared" ref="J6:K6" si="20">I6*J8</f>
        <v>9.36</v>
      </c>
      <c r="K6" s="9">
        <f t="shared" si="20"/>
        <v>9.7343999999999991</v>
      </c>
      <c r="L6" s="9">
        <f>K6*L8</f>
        <v>10.123775999999999</v>
      </c>
      <c r="M6" s="27">
        <f>L6*M8</f>
        <v>10.52872704</v>
      </c>
      <c r="N6" s="27">
        <f t="shared" ref="N6:P6" si="21">M6*N8</f>
        <v>10.949876121600001</v>
      </c>
      <c r="O6" s="27">
        <f t="shared" si="21"/>
        <v>11.387871166464</v>
      </c>
      <c r="P6" s="27">
        <f t="shared" si="21"/>
        <v>11.843386013122561</v>
      </c>
      <c r="Q6" s="27">
        <f t="shared" ref="Q6" si="22">P6*Q8</f>
        <v>12.317121453647465</v>
      </c>
      <c r="R6" s="27">
        <f t="shared" ref="R6" si="23">Q6*R8</f>
        <v>12.809806311793364</v>
      </c>
      <c r="S6" s="27">
        <f t="shared" ref="S6" si="24">R6*S8</f>
        <v>13.322198564265099</v>
      </c>
      <c r="T6" s="27">
        <f t="shared" ref="T6" si="25">S6*T8</f>
        <v>13.855086506835704</v>
      </c>
      <c r="U6" s="27">
        <f t="shared" ref="U6" si="26">T6*U8</f>
        <v>14.409289967109133</v>
      </c>
      <c r="V6" s="27">
        <f t="shared" ref="V6" si="27">U6*V8</f>
        <v>14.9856615657935</v>
      </c>
      <c r="W6" s="27">
        <f t="shared" ref="W6" si="28">V6*W8</f>
        <v>15.58508802842524</v>
      </c>
      <c r="X6" s="27">
        <f t="shared" ref="X6" si="29">W6*X8</f>
        <v>16.20849154956225</v>
      </c>
      <c r="Y6" s="27">
        <f t="shared" ref="Y6" si="30">X6*Y8</f>
        <v>16.856831211544741</v>
      </c>
      <c r="Z6" s="27">
        <f t="shared" ref="Z6" si="31">Y6*Z8</f>
        <v>17.531104460006532</v>
      </c>
      <c r="AA6" s="27">
        <f t="shared" ref="AA6" si="32">Z6*AA8</f>
        <v>18.232348638406794</v>
      </c>
      <c r="AB6" s="27">
        <f t="shared" ref="AB6" si="33">AA6*AB8</f>
        <v>18.961642583943068</v>
      </c>
      <c r="AC6" s="27">
        <f t="shared" ref="AC6" si="34">AB6*AC8</f>
        <v>19.720108287300793</v>
      </c>
      <c r="AD6" s="27">
        <f t="shared" ref="AD6" si="35">AC6*AD8</f>
        <v>20.508912618792824</v>
      </c>
      <c r="AE6" s="57">
        <f t="shared" ref="AE6" si="36">AD6*AE8</f>
        <v>21.329269123544538</v>
      </c>
    </row>
    <row r="7" spans="1:31" s="2" customFormat="1" ht="30" x14ac:dyDescent="0.15">
      <c r="A7" s="137" t="s">
        <v>44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100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7">
        <v>0</v>
      </c>
    </row>
    <row r="8" spans="1:31" s="2" customFormat="1" ht="15" x14ac:dyDescent="0.15">
      <c r="A8" s="136" t="s">
        <v>27</v>
      </c>
      <c r="B8" s="10"/>
      <c r="C8" s="7"/>
      <c r="D8" s="7"/>
      <c r="E8" s="7"/>
      <c r="F8" s="7"/>
      <c r="G8" s="7"/>
      <c r="H8" s="10">
        <v>1.04</v>
      </c>
      <c r="I8" s="11">
        <v>1.04</v>
      </c>
      <c r="J8" s="11">
        <v>1.04</v>
      </c>
      <c r="K8" s="11">
        <v>1.04</v>
      </c>
      <c r="L8" s="11">
        <v>1.04</v>
      </c>
      <c r="M8" s="28">
        <f>L8</f>
        <v>1.04</v>
      </c>
      <c r="N8" s="28">
        <f t="shared" ref="N8:AE8" si="37">M8</f>
        <v>1.04</v>
      </c>
      <c r="O8" s="28">
        <f t="shared" si="37"/>
        <v>1.04</v>
      </c>
      <c r="P8" s="28">
        <f t="shared" si="37"/>
        <v>1.04</v>
      </c>
      <c r="Q8" s="28">
        <f t="shared" si="37"/>
        <v>1.04</v>
      </c>
      <c r="R8" s="28">
        <f t="shared" si="37"/>
        <v>1.04</v>
      </c>
      <c r="S8" s="28">
        <f t="shared" si="37"/>
        <v>1.04</v>
      </c>
      <c r="T8" s="28">
        <f t="shared" si="37"/>
        <v>1.04</v>
      </c>
      <c r="U8" s="28">
        <f t="shared" si="37"/>
        <v>1.04</v>
      </c>
      <c r="V8" s="28">
        <f t="shared" si="37"/>
        <v>1.04</v>
      </c>
      <c r="W8" s="28">
        <f t="shared" si="37"/>
        <v>1.04</v>
      </c>
      <c r="X8" s="28">
        <f t="shared" si="37"/>
        <v>1.04</v>
      </c>
      <c r="Y8" s="28">
        <f t="shared" si="37"/>
        <v>1.04</v>
      </c>
      <c r="Z8" s="28">
        <f t="shared" si="37"/>
        <v>1.04</v>
      </c>
      <c r="AA8" s="28">
        <f t="shared" si="37"/>
        <v>1.04</v>
      </c>
      <c r="AB8" s="28">
        <f t="shared" si="37"/>
        <v>1.04</v>
      </c>
      <c r="AC8" s="28">
        <f t="shared" si="37"/>
        <v>1.04</v>
      </c>
      <c r="AD8" s="28">
        <f t="shared" si="37"/>
        <v>1.04</v>
      </c>
      <c r="AE8" s="58">
        <f t="shared" si="37"/>
        <v>1.04</v>
      </c>
    </row>
    <row r="9" spans="1:31" s="2" customFormat="1" ht="15" x14ac:dyDescent="0.15">
      <c r="A9" s="24" t="s">
        <v>28</v>
      </c>
      <c r="B9" s="101">
        <f>B5*(B6+B7)*12</f>
        <v>306600</v>
      </c>
      <c r="C9" s="101">
        <f t="shared" ref="C9:H9" si="38">C5*(C6+C7)*12</f>
        <v>306600</v>
      </c>
      <c r="D9" s="101">
        <f t="shared" si="38"/>
        <v>306600</v>
      </c>
      <c r="E9" s="101">
        <f t="shared" si="38"/>
        <v>306600</v>
      </c>
      <c r="F9" s="101">
        <f t="shared" si="38"/>
        <v>365399.99999999994</v>
      </c>
      <c r="G9" s="101">
        <f t="shared" si="38"/>
        <v>365399.99999999994</v>
      </c>
      <c r="H9" s="101">
        <f t="shared" si="38"/>
        <v>365399.99999999994</v>
      </c>
      <c r="I9" s="102">
        <f>I5*(I6+I7)*12</f>
        <v>378000</v>
      </c>
      <c r="J9" s="102">
        <f t="shared" ref="J9:AE9" si="39">J5*(J6+J7)*12</f>
        <v>393119.99999999994</v>
      </c>
      <c r="K9" s="102">
        <f t="shared" si="39"/>
        <v>408844.79999999993</v>
      </c>
      <c r="L9" s="102">
        <f t="shared" si="39"/>
        <v>425198.592</v>
      </c>
      <c r="M9" s="102">
        <f t="shared" si="39"/>
        <v>442206.53567999997</v>
      </c>
      <c r="N9" s="102">
        <f t="shared" si="39"/>
        <v>459894.79710720002</v>
      </c>
      <c r="O9" s="102">
        <f t="shared" si="39"/>
        <v>478290.58899148798</v>
      </c>
      <c r="P9" s="102">
        <f t="shared" si="39"/>
        <v>497422.21255114762</v>
      </c>
      <c r="Q9" s="102">
        <f t="shared" si="39"/>
        <v>517319.1010531935</v>
      </c>
      <c r="R9" s="102">
        <f t="shared" si="39"/>
        <v>538011.86509532132</v>
      </c>
      <c r="S9" s="102">
        <f t="shared" si="39"/>
        <v>559532.33969913411</v>
      </c>
      <c r="T9" s="102">
        <f t="shared" si="39"/>
        <v>581913.63328709966</v>
      </c>
      <c r="U9" s="102">
        <f t="shared" si="39"/>
        <v>605190.1786185836</v>
      </c>
      <c r="V9" s="102">
        <f t="shared" si="39"/>
        <v>629397.78576332703</v>
      </c>
      <c r="W9" s="102">
        <f t="shared" si="39"/>
        <v>654573.69719386008</v>
      </c>
      <c r="X9" s="102">
        <f t="shared" si="39"/>
        <v>680756.64508161461</v>
      </c>
      <c r="Y9" s="102">
        <f t="shared" si="39"/>
        <v>707986.91088487906</v>
      </c>
      <c r="Z9" s="102">
        <f t="shared" si="39"/>
        <v>736306.38732027437</v>
      </c>
      <c r="AA9" s="102">
        <f t="shared" si="39"/>
        <v>765758.64281308535</v>
      </c>
      <c r="AB9" s="102">
        <f t="shared" si="39"/>
        <v>796388.98852560879</v>
      </c>
      <c r="AC9" s="102">
        <f t="shared" si="39"/>
        <v>828244.54806663329</v>
      </c>
      <c r="AD9" s="102">
        <f t="shared" si="39"/>
        <v>861374.3299892986</v>
      </c>
      <c r="AE9" s="103">
        <f t="shared" si="39"/>
        <v>895829.30318887066</v>
      </c>
    </row>
    <row r="10" spans="1:31" s="2" customFormat="1" ht="15" x14ac:dyDescent="0.15">
      <c r="A10" s="23" t="s">
        <v>29</v>
      </c>
      <c r="B10" s="79">
        <v>300000</v>
      </c>
      <c r="C10" s="79">
        <v>305000</v>
      </c>
      <c r="D10" s="79">
        <v>305000</v>
      </c>
      <c r="E10" s="79">
        <v>305000</v>
      </c>
      <c r="F10" s="79">
        <v>360000</v>
      </c>
      <c r="G10" s="79">
        <v>360000</v>
      </c>
      <c r="H10" s="79">
        <v>360000</v>
      </c>
      <c r="I10" s="102">
        <f t="shared" ref="I10:AE10" si="40">I9*I12</f>
        <v>370440</v>
      </c>
      <c r="J10" s="102">
        <f t="shared" si="40"/>
        <v>385257.59999999992</v>
      </c>
      <c r="K10" s="102">
        <f t="shared" si="40"/>
        <v>400667.90399999992</v>
      </c>
      <c r="L10" s="102">
        <f t="shared" si="40"/>
        <v>416694.62015999999</v>
      </c>
      <c r="M10" s="102">
        <f t="shared" si="40"/>
        <v>433362.40496639995</v>
      </c>
      <c r="N10" s="102">
        <f t="shared" si="40"/>
        <v>450696.90116505598</v>
      </c>
      <c r="O10" s="102">
        <f t="shared" si="40"/>
        <v>468724.77721165819</v>
      </c>
      <c r="P10" s="102">
        <f t="shared" si="40"/>
        <v>487473.76830012468</v>
      </c>
      <c r="Q10" s="102">
        <f t="shared" si="40"/>
        <v>506972.71903212962</v>
      </c>
      <c r="R10" s="102">
        <f t="shared" si="40"/>
        <v>527251.62779341487</v>
      </c>
      <c r="S10" s="102">
        <f t="shared" si="40"/>
        <v>548341.6929051514</v>
      </c>
      <c r="T10" s="102">
        <f t="shared" si="40"/>
        <v>570275.36062135769</v>
      </c>
      <c r="U10" s="102">
        <f t="shared" si="40"/>
        <v>593086.37504621188</v>
      </c>
      <c r="V10" s="102">
        <f t="shared" si="40"/>
        <v>616809.83004806051</v>
      </c>
      <c r="W10" s="102">
        <f t="shared" si="40"/>
        <v>641482.22324998281</v>
      </c>
      <c r="X10" s="102">
        <f t="shared" si="40"/>
        <v>667141.51217998227</v>
      </c>
      <c r="Y10" s="102">
        <f t="shared" si="40"/>
        <v>693827.17266718147</v>
      </c>
      <c r="Z10" s="102">
        <f t="shared" si="40"/>
        <v>721580.25957386883</v>
      </c>
      <c r="AA10" s="102">
        <f t="shared" si="40"/>
        <v>750443.46995682362</v>
      </c>
      <c r="AB10" s="102">
        <f t="shared" si="40"/>
        <v>780461.20875509665</v>
      </c>
      <c r="AC10" s="102">
        <f t="shared" si="40"/>
        <v>811679.65710530058</v>
      </c>
      <c r="AD10" s="102">
        <f t="shared" si="40"/>
        <v>844146.84338951262</v>
      </c>
      <c r="AE10" s="103">
        <f t="shared" si="40"/>
        <v>877912.71712509322</v>
      </c>
    </row>
    <row r="11" spans="1:31" s="2" customFormat="1" ht="15" x14ac:dyDescent="0.15">
      <c r="A11" s="23" t="s">
        <v>30</v>
      </c>
      <c r="B11" s="101">
        <f t="shared" ref="B11:AE11" si="41">B9-B10</f>
        <v>6600</v>
      </c>
      <c r="C11" s="101">
        <f t="shared" si="41"/>
        <v>1600</v>
      </c>
      <c r="D11" s="101">
        <f t="shared" si="41"/>
        <v>1600</v>
      </c>
      <c r="E11" s="101">
        <f t="shared" si="41"/>
        <v>1600</v>
      </c>
      <c r="F11" s="101">
        <f t="shared" si="41"/>
        <v>5399.9999999999418</v>
      </c>
      <c r="G11" s="101">
        <f t="shared" si="41"/>
        <v>5399.9999999999418</v>
      </c>
      <c r="H11" s="101">
        <f t="shared" si="41"/>
        <v>5399.9999999999418</v>
      </c>
      <c r="I11" s="102">
        <f t="shared" si="41"/>
        <v>7560</v>
      </c>
      <c r="J11" s="102">
        <f t="shared" si="41"/>
        <v>7862.4000000000233</v>
      </c>
      <c r="K11" s="102">
        <f t="shared" si="41"/>
        <v>8176.8960000000079</v>
      </c>
      <c r="L11" s="102">
        <f t="shared" si="41"/>
        <v>8503.9718400000129</v>
      </c>
      <c r="M11" s="102">
        <f t="shared" si="41"/>
        <v>8844.130713600025</v>
      </c>
      <c r="N11" s="102">
        <f t="shared" si="41"/>
        <v>9197.8959421440377</v>
      </c>
      <c r="O11" s="102">
        <f t="shared" si="41"/>
        <v>9565.8117798297899</v>
      </c>
      <c r="P11" s="102">
        <f t="shared" si="41"/>
        <v>9948.4442510229419</v>
      </c>
      <c r="Q11" s="102">
        <f t="shared" si="41"/>
        <v>10346.382021063881</v>
      </c>
      <c r="R11" s="102">
        <f t="shared" si="41"/>
        <v>10760.237301906454</v>
      </c>
      <c r="S11" s="102">
        <f t="shared" si="41"/>
        <v>11190.646793982713</v>
      </c>
      <c r="T11" s="102">
        <f t="shared" si="41"/>
        <v>11638.27266574197</v>
      </c>
      <c r="U11" s="102">
        <f t="shared" si="41"/>
        <v>12103.803572371718</v>
      </c>
      <c r="V11" s="102">
        <f t="shared" si="41"/>
        <v>12587.955715266522</v>
      </c>
      <c r="W11" s="102">
        <f t="shared" si="41"/>
        <v>13091.473943877267</v>
      </c>
      <c r="X11" s="102">
        <f t="shared" si="41"/>
        <v>13615.132901632343</v>
      </c>
      <c r="Y11" s="102">
        <f t="shared" si="41"/>
        <v>14159.738217697595</v>
      </c>
      <c r="Z11" s="102">
        <f t="shared" si="41"/>
        <v>14726.127746405546</v>
      </c>
      <c r="AA11" s="102">
        <f t="shared" si="41"/>
        <v>15315.172856261721</v>
      </c>
      <c r="AB11" s="102">
        <f t="shared" si="41"/>
        <v>15927.779770512134</v>
      </c>
      <c r="AC11" s="102">
        <f t="shared" si="41"/>
        <v>16564.890961332712</v>
      </c>
      <c r="AD11" s="102">
        <f t="shared" si="41"/>
        <v>17227.486599785974</v>
      </c>
      <c r="AE11" s="103">
        <f t="shared" si="41"/>
        <v>17916.586063777446</v>
      </c>
    </row>
    <row r="12" spans="1:31" s="2" customFormat="1" ht="15" x14ac:dyDescent="0.15">
      <c r="A12" s="23" t="s">
        <v>31</v>
      </c>
      <c r="B12" s="10">
        <f t="shared" ref="B12:H12" si="42">B10/B9</f>
        <v>0.97847358121330719</v>
      </c>
      <c r="C12" s="10">
        <f t="shared" si="42"/>
        <v>0.99478147423352903</v>
      </c>
      <c r="D12" s="10">
        <f t="shared" si="42"/>
        <v>0.99478147423352903</v>
      </c>
      <c r="E12" s="10">
        <f t="shared" si="42"/>
        <v>0.99478147423352903</v>
      </c>
      <c r="F12" s="10">
        <f t="shared" si="42"/>
        <v>0.98522167487684742</v>
      </c>
      <c r="G12" s="10">
        <f t="shared" si="42"/>
        <v>0.98522167487684742</v>
      </c>
      <c r="H12" s="10">
        <f t="shared" si="42"/>
        <v>0.98522167487684742</v>
      </c>
      <c r="I12" s="90">
        <v>0.98</v>
      </c>
      <c r="J12" s="35">
        <f>I12</f>
        <v>0.98</v>
      </c>
      <c r="K12" s="35">
        <f t="shared" ref="K12:AE12" si="43">J12</f>
        <v>0.98</v>
      </c>
      <c r="L12" s="35">
        <f t="shared" si="43"/>
        <v>0.98</v>
      </c>
      <c r="M12" s="35">
        <f t="shared" si="43"/>
        <v>0.98</v>
      </c>
      <c r="N12" s="35">
        <f t="shared" si="43"/>
        <v>0.98</v>
      </c>
      <c r="O12" s="35">
        <f t="shared" si="43"/>
        <v>0.98</v>
      </c>
      <c r="P12" s="35">
        <f t="shared" si="43"/>
        <v>0.98</v>
      </c>
      <c r="Q12" s="35">
        <f t="shared" si="43"/>
        <v>0.98</v>
      </c>
      <c r="R12" s="35">
        <f t="shared" si="43"/>
        <v>0.98</v>
      </c>
      <c r="S12" s="35">
        <f t="shared" si="43"/>
        <v>0.98</v>
      </c>
      <c r="T12" s="35">
        <f t="shared" si="43"/>
        <v>0.98</v>
      </c>
      <c r="U12" s="35">
        <f t="shared" si="43"/>
        <v>0.98</v>
      </c>
      <c r="V12" s="35">
        <f t="shared" si="43"/>
        <v>0.98</v>
      </c>
      <c r="W12" s="35">
        <f t="shared" si="43"/>
        <v>0.98</v>
      </c>
      <c r="X12" s="35">
        <f t="shared" si="43"/>
        <v>0.98</v>
      </c>
      <c r="Y12" s="35">
        <f t="shared" si="43"/>
        <v>0.98</v>
      </c>
      <c r="Z12" s="35">
        <f t="shared" si="43"/>
        <v>0.98</v>
      </c>
      <c r="AA12" s="35">
        <f t="shared" si="43"/>
        <v>0.98</v>
      </c>
      <c r="AB12" s="35">
        <f t="shared" si="43"/>
        <v>0.98</v>
      </c>
      <c r="AC12" s="35">
        <f t="shared" si="43"/>
        <v>0.98</v>
      </c>
      <c r="AD12" s="35">
        <f t="shared" si="43"/>
        <v>0.98</v>
      </c>
      <c r="AE12" s="60">
        <f t="shared" si="43"/>
        <v>0.98</v>
      </c>
    </row>
    <row r="13" spans="1:31" s="83" customFormat="1" ht="45" x14ac:dyDescent="0.15">
      <c r="A13" s="80" t="s">
        <v>47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2">
        <v>0</v>
      </c>
    </row>
    <row r="14" spans="1:31" s="2" customFormat="1" ht="30" x14ac:dyDescent="0.15">
      <c r="A14" s="76" t="s">
        <v>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108" t="s">
        <v>26</v>
      </c>
      <c r="J14" s="108" t="s">
        <v>26</v>
      </c>
      <c r="K14" s="108" t="s">
        <v>26</v>
      </c>
      <c r="L14" s="108" t="s">
        <v>26</v>
      </c>
      <c r="M14" s="108" t="s">
        <v>26</v>
      </c>
      <c r="N14" s="108" t="s">
        <v>26</v>
      </c>
      <c r="O14" s="108" t="s">
        <v>26</v>
      </c>
      <c r="P14" s="108" t="s">
        <v>26</v>
      </c>
      <c r="Q14" s="108" t="s">
        <v>26</v>
      </c>
      <c r="R14" s="108" t="s">
        <v>26</v>
      </c>
      <c r="S14" s="108" t="s">
        <v>26</v>
      </c>
      <c r="T14" s="108" t="s">
        <v>26</v>
      </c>
      <c r="U14" s="108" t="s">
        <v>26</v>
      </c>
      <c r="V14" s="108" t="s">
        <v>26</v>
      </c>
      <c r="W14" s="108" t="s">
        <v>26</v>
      </c>
      <c r="X14" s="108" t="s">
        <v>26</v>
      </c>
      <c r="Y14" s="108" t="s">
        <v>26</v>
      </c>
      <c r="Z14" s="108" t="s">
        <v>26</v>
      </c>
      <c r="AA14" s="108" t="s">
        <v>26</v>
      </c>
      <c r="AB14" s="108" t="s">
        <v>26</v>
      </c>
      <c r="AC14" s="108" t="s">
        <v>26</v>
      </c>
      <c r="AD14" s="108" t="s">
        <v>26</v>
      </c>
      <c r="AE14" s="77" t="s">
        <v>26</v>
      </c>
    </row>
    <row r="15" spans="1:31" s="2" customFormat="1" ht="31" thickBot="1" x14ac:dyDescent="0.2">
      <c r="A15" s="23" t="s">
        <v>48</v>
      </c>
      <c r="B15" s="78" t="s">
        <v>26</v>
      </c>
      <c r="C15" s="78" t="s">
        <v>26</v>
      </c>
      <c r="D15" s="78" t="s">
        <v>26</v>
      </c>
      <c r="E15" s="78" t="s">
        <v>26</v>
      </c>
      <c r="F15" s="78" t="s">
        <v>26</v>
      </c>
      <c r="G15" s="78" t="s">
        <v>26</v>
      </c>
      <c r="H15" s="78" t="s">
        <v>26</v>
      </c>
      <c r="I15" s="12"/>
      <c r="J15" s="13"/>
      <c r="K15" s="14"/>
      <c r="L15" s="13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61"/>
    </row>
    <row r="16" spans="1:31" s="2" customFormat="1" ht="16" thickBot="1" x14ac:dyDescent="0.2">
      <c r="A16" s="25" t="s">
        <v>42</v>
      </c>
      <c r="B16" s="78" t="s">
        <v>26</v>
      </c>
      <c r="C16" s="78" t="s">
        <v>26</v>
      </c>
      <c r="D16" s="78" t="s">
        <v>26</v>
      </c>
      <c r="E16" s="78" t="s">
        <v>26</v>
      </c>
      <c r="F16" s="78" t="s">
        <v>26</v>
      </c>
      <c r="G16" s="78" t="s">
        <v>26</v>
      </c>
      <c r="H16" s="78" t="s">
        <v>26</v>
      </c>
      <c r="I16" s="138">
        <v>13818225</v>
      </c>
      <c r="J16" s="13">
        <f>$I$16*J25</f>
        <v>16204041.037470002</v>
      </c>
      <c r="K16" s="13">
        <f>$I$16*K25</f>
        <v>16852202.678968802</v>
      </c>
      <c r="L16" s="13">
        <f t="shared" ref="L16:AE16" si="44">$I$16*L25</f>
        <v>17526290.786127552</v>
      </c>
      <c r="M16" s="13">
        <f t="shared" si="44"/>
        <v>18227342.417572655</v>
      </c>
      <c r="N16" s="13">
        <f t="shared" si="44"/>
        <v>18956436.11427556</v>
      </c>
      <c r="O16" s="13">
        <f t="shared" si="44"/>
        <v>19714693.558846582</v>
      </c>
      <c r="P16" s="13">
        <f t="shared" si="44"/>
        <v>20503281.301200446</v>
      </c>
      <c r="Q16" s="13">
        <f t="shared" si="44"/>
        <v>21323412.553248461</v>
      </c>
      <c r="R16" s="13">
        <f t="shared" si="44"/>
        <v>22176349.0553784</v>
      </c>
      <c r="S16" s="13">
        <f t="shared" si="44"/>
        <v>23063403.017593537</v>
      </c>
      <c r="T16" s="13">
        <f t="shared" si="44"/>
        <v>23985939.138297275</v>
      </c>
      <c r="U16" s="13">
        <f t="shared" si="44"/>
        <v>24945376.703829169</v>
      </c>
      <c r="V16" s="13">
        <f t="shared" si="44"/>
        <v>25943191.771982338</v>
      </c>
      <c r="W16" s="13">
        <f t="shared" si="44"/>
        <v>26980919.442861632</v>
      </c>
      <c r="X16" s="13">
        <f t="shared" si="44"/>
        <v>28060156.220576093</v>
      </c>
      <c r="Y16" s="13">
        <f t="shared" si="44"/>
        <v>29182562.469399139</v>
      </c>
      <c r="Z16" s="13">
        <f t="shared" si="44"/>
        <v>30349864.968175102</v>
      </c>
      <c r="AA16" s="13">
        <f t="shared" si="44"/>
        <v>31563859.566902105</v>
      </c>
      <c r="AB16" s="13">
        <f t="shared" si="44"/>
        <v>32826413.949578185</v>
      </c>
      <c r="AC16" s="13">
        <f t="shared" si="44"/>
        <v>34139470.507561311</v>
      </c>
      <c r="AD16" s="13">
        <f t="shared" si="44"/>
        <v>35505049.327863768</v>
      </c>
      <c r="AE16" s="59">
        <f t="shared" si="44"/>
        <v>36925251.300978318</v>
      </c>
    </row>
    <row r="17" spans="1:31" s="2" customFormat="1" ht="31" thickBot="1" x14ac:dyDescent="0.2">
      <c r="A17" s="25" t="s">
        <v>37</v>
      </c>
      <c r="B17" s="78" t="s">
        <v>26</v>
      </c>
      <c r="C17" s="78" t="s">
        <v>26</v>
      </c>
      <c r="D17" s="78" t="s">
        <v>26</v>
      </c>
      <c r="E17" s="78" t="s">
        <v>26</v>
      </c>
      <c r="F17" s="78" t="s">
        <v>26</v>
      </c>
      <c r="G17" s="78" t="s">
        <v>26</v>
      </c>
      <c r="H17" s="78" t="s">
        <v>26</v>
      </c>
      <c r="I17" s="88">
        <v>4108757</v>
      </c>
      <c r="J17" s="13">
        <f>$I$17*J25</f>
        <v>4818163.4791004006</v>
      </c>
      <c r="K17" s="13">
        <f>$I$17*K25</f>
        <v>5010890.0182644166</v>
      </c>
      <c r="L17" s="13">
        <f t="shared" ref="L17:O17" si="45">$I$17*L25</f>
        <v>5211325.6189949932</v>
      </c>
      <c r="M17" s="13">
        <f t="shared" si="45"/>
        <v>5419778.6437547924</v>
      </c>
      <c r="N17" s="13">
        <f t="shared" si="45"/>
        <v>5636569.7895049844</v>
      </c>
      <c r="O17" s="13">
        <f t="shared" si="45"/>
        <v>5862032.5810851827</v>
      </c>
      <c r="P17" s="139">
        <f>$I$17*P25</f>
        <v>6096513.8843285898</v>
      </c>
      <c r="Q17" s="84">
        <f t="shared" ref="Q17:AE17" si="46">$I$17*Q25</f>
        <v>6340374.4397017341</v>
      </c>
      <c r="R17" s="84">
        <f t="shared" si="46"/>
        <v>6593989.4172898037</v>
      </c>
      <c r="S17" s="84">
        <f t="shared" si="46"/>
        <v>6857748.9939813949</v>
      </c>
      <c r="T17" s="84">
        <f t="shared" si="46"/>
        <v>7132058.9537406508</v>
      </c>
      <c r="U17" s="84">
        <f t="shared" si="46"/>
        <v>7417341.3118902771</v>
      </c>
      <c r="V17" s="84">
        <f t="shared" si="46"/>
        <v>7714034.9643658884</v>
      </c>
      <c r="W17" s="84">
        <f t="shared" si="46"/>
        <v>8022596.3629405238</v>
      </c>
      <c r="X17" s="84">
        <f t="shared" si="46"/>
        <v>8343500.2174581448</v>
      </c>
      <c r="Y17" s="84">
        <f t="shared" si="46"/>
        <v>8677240.2261564713</v>
      </c>
      <c r="Z17" s="84">
        <f t="shared" si="46"/>
        <v>9024329.8352027293</v>
      </c>
      <c r="AA17" s="84">
        <f t="shared" si="46"/>
        <v>9385303.0286108386</v>
      </c>
      <c r="AB17" s="84">
        <f t="shared" si="46"/>
        <v>9760715.1497552712</v>
      </c>
      <c r="AC17" s="84">
        <f t="shared" si="46"/>
        <v>10151143.755745482</v>
      </c>
      <c r="AD17" s="84">
        <f t="shared" si="46"/>
        <v>10557189.5059753</v>
      </c>
      <c r="AE17" s="91">
        <f t="shared" si="46"/>
        <v>10979477.086214313</v>
      </c>
    </row>
    <row r="18" spans="1:31" s="2" customFormat="1" ht="31" thickBot="1" x14ac:dyDescent="0.2">
      <c r="A18" s="25" t="s">
        <v>38</v>
      </c>
      <c r="B18" s="78" t="s">
        <v>26</v>
      </c>
      <c r="C18" s="78" t="s">
        <v>26</v>
      </c>
      <c r="D18" s="78" t="s">
        <v>26</v>
      </c>
      <c r="E18" s="78" t="s">
        <v>26</v>
      </c>
      <c r="F18" s="78" t="s">
        <v>26</v>
      </c>
      <c r="G18" s="78" t="s">
        <v>26</v>
      </c>
      <c r="H18" s="78" t="s">
        <v>26</v>
      </c>
      <c r="I18" s="88">
        <v>1316107</v>
      </c>
      <c r="J18" s="13">
        <f>$I$18*J25</f>
        <v>1543342.3495204002</v>
      </c>
      <c r="K18" s="13">
        <f t="shared" ref="K18:R18" si="47">$I$18*K25</f>
        <v>1605076.0435012162</v>
      </c>
      <c r="L18" s="13">
        <f t="shared" si="47"/>
        <v>1669279.0852412647</v>
      </c>
      <c r="M18" s="13">
        <f t="shared" si="47"/>
        <v>1736050.2486509152</v>
      </c>
      <c r="N18" s="13">
        <f t="shared" si="47"/>
        <v>1805492.2585969518</v>
      </c>
      <c r="O18" s="13">
        <f t="shared" si="47"/>
        <v>1877711.9489408298</v>
      </c>
      <c r="P18" s="13">
        <f>$I$18*P25</f>
        <v>1952820.4268984629</v>
      </c>
      <c r="Q18" s="13">
        <f t="shared" si="47"/>
        <v>2030933.2439744014</v>
      </c>
      <c r="R18" s="13">
        <f t="shared" si="47"/>
        <v>2112170.5737333777</v>
      </c>
      <c r="S18" s="140">
        <f>$I$18*S25</f>
        <v>2196657.3966827127</v>
      </c>
      <c r="T18" s="31">
        <f t="shared" ref="T18:AE18" si="48">$I$18*T25</f>
        <v>2284523.6925500208</v>
      </c>
      <c r="U18" s="31">
        <f t="shared" si="48"/>
        <v>2375904.6402520221</v>
      </c>
      <c r="V18" s="31">
        <f t="shared" si="48"/>
        <v>2470940.8258621031</v>
      </c>
      <c r="W18" s="31">
        <f t="shared" si="48"/>
        <v>2569778.4588965871</v>
      </c>
      <c r="X18" s="31">
        <f t="shared" si="48"/>
        <v>2672569.5972524504</v>
      </c>
      <c r="Y18" s="31">
        <f t="shared" si="48"/>
        <v>2779472.3811425483</v>
      </c>
      <c r="Z18" s="31">
        <f t="shared" si="48"/>
        <v>2890651.2763882503</v>
      </c>
      <c r="AA18" s="31">
        <f t="shared" si="48"/>
        <v>3006277.3274437799</v>
      </c>
      <c r="AB18" s="31">
        <f t="shared" si="48"/>
        <v>3126528.4205415309</v>
      </c>
      <c r="AC18" s="31">
        <f t="shared" si="48"/>
        <v>3251589.5573631926</v>
      </c>
      <c r="AD18" s="31">
        <f t="shared" si="48"/>
        <v>3381653.13965772</v>
      </c>
      <c r="AE18" s="92">
        <f t="shared" si="48"/>
        <v>3516919.265244029</v>
      </c>
    </row>
    <row r="19" spans="1:31" s="2" customFormat="1" ht="16" thickBot="1" x14ac:dyDescent="0.2">
      <c r="A19" s="25" t="s">
        <v>39</v>
      </c>
      <c r="B19" s="78" t="s">
        <v>26</v>
      </c>
      <c r="C19" s="78" t="s">
        <v>26</v>
      </c>
      <c r="D19" s="78" t="s">
        <v>26</v>
      </c>
      <c r="E19" s="78" t="s">
        <v>26</v>
      </c>
      <c r="F19" s="78" t="s">
        <v>26</v>
      </c>
      <c r="G19" s="78" t="s">
        <v>26</v>
      </c>
      <c r="H19" s="78" t="s">
        <v>26</v>
      </c>
      <c r="I19" s="88">
        <v>2765550</v>
      </c>
      <c r="J19" s="13">
        <f>$I$19*J25</f>
        <v>3243042.1194600007</v>
      </c>
      <c r="K19" s="13">
        <f>$I$19*K25</f>
        <v>3372763.8042384004</v>
      </c>
      <c r="L19" s="13">
        <f>$I$19*L25</f>
        <v>3507674.3564079362</v>
      </c>
      <c r="M19" s="13">
        <f>$I$19*M25</f>
        <v>3647981.3306642538</v>
      </c>
      <c r="N19" s="13">
        <f t="shared" ref="N19:R19" si="49">$I$19*N25</f>
        <v>3793900.5838908236</v>
      </c>
      <c r="O19" s="13">
        <f t="shared" si="49"/>
        <v>3945656.6072464562</v>
      </c>
      <c r="P19" s="13">
        <f t="shared" si="49"/>
        <v>4103482.8715363145</v>
      </c>
      <c r="Q19" s="13">
        <f t="shared" si="49"/>
        <v>4267622.1863977667</v>
      </c>
      <c r="R19" s="13">
        <f t="shared" si="49"/>
        <v>4438327.0738536781</v>
      </c>
      <c r="S19" s="13">
        <f>$I$19*O25</f>
        <v>3945656.6072464562</v>
      </c>
      <c r="T19" s="13">
        <f>$I$19*P25</f>
        <v>4103482.8715363145</v>
      </c>
      <c r="U19" s="13">
        <f>$I$19*Q25</f>
        <v>4267622.1863977667</v>
      </c>
      <c r="V19" s="13">
        <f>$I$19*R25</f>
        <v>4438327.0738536781</v>
      </c>
      <c r="W19" s="141">
        <f>$I$19*W25</f>
        <v>5399903.516204576</v>
      </c>
      <c r="X19" s="13">
        <f t="shared" ref="X19:AD19" si="50">$I$19*X25</f>
        <v>5615899.6568527594</v>
      </c>
      <c r="Y19" s="13">
        <f t="shared" si="50"/>
        <v>5840535.6431268696</v>
      </c>
      <c r="Z19" s="13">
        <f t="shared" si="50"/>
        <v>6074157.0688519441</v>
      </c>
      <c r="AA19" s="13">
        <f t="shared" si="50"/>
        <v>6317123.3516060216</v>
      </c>
      <c r="AB19" s="13">
        <f t="shared" si="50"/>
        <v>6569808.2856702618</v>
      </c>
      <c r="AC19" s="13">
        <f t="shared" si="50"/>
        <v>6832600.6170970723</v>
      </c>
      <c r="AD19" s="13">
        <f t="shared" si="50"/>
        <v>7105904.6417809557</v>
      </c>
      <c r="AE19" s="59">
        <f>$I$19*AE25</f>
        <v>7390140.8274521939</v>
      </c>
    </row>
    <row r="20" spans="1:31" s="2" customFormat="1" ht="16" thickBot="1" x14ac:dyDescent="0.2">
      <c r="A20" s="25" t="s">
        <v>40</v>
      </c>
      <c r="B20" s="78" t="s">
        <v>26</v>
      </c>
      <c r="C20" s="78" t="s">
        <v>26</v>
      </c>
      <c r="D20" s="78" t="s">
        <v>26</v>
      </c>
      <c r="E20" s="78" t="s">
        <v>26</v>
      </c>
      <c r="F20" s="78" t="s">
        <v>26</v>
      </c>
      <c r="G20" s="78" t="s">
        <v>26</v>
      </c>
      <c r="H20" s="78" t="s">
        <v>26</v>
      </c>
      <c r="I20" s="88">
        <v>2888120</v>
      </c>
      <c r="J20" s="13">
        <f>$I$20*J25</f>
        <v>3386774.7124640006</v>
      </c>
      <c r="K20" s="13">
        <f t="shared" ref="K20:Z20" si="51">$I$20*K25</f>
        <v>3522245.7009625603</v>
      </c>
      <c r="L20" s="13">
        <f t="shared" si="51"/>
        <v>3663135.5290010623</v>
      </c>
      <c r="M20" s="13">
        <f t="shared" si="51"/>
        <v>3809660.950161105</v>
      </c>
      <c r="N20" s="13">
        <f t="shared" si="51"/>
        <v>3962047.3881675489</v>
      </c>
      <c r="O20" s="13">
        <f t="shared" si="51"/>
        <v>4120529.283694251</v>
      </c>
      <c r="P20" s="13">
        <f t="shared" si="51"/>
        <v>4285350.4550420204</v>
      </c>
      <c r="Q20" s="13">
        <f t="shared" si="51"/>
        <v>4456764.4732437013</v>
      </c>
      <c r="R20" s="13">
        <f t="shared" si="51"/>
        <v>4635035.0521734497</v>
      </c>
      <c r="S20" s="13">
        <f t="shared" si="51"/>
        <v>4820436.4542603875</v>
      </c>
      <c r="T20" s="13">
        <f t="shared" si="51"/>
        <v>5013253.9124308024</v>
      </c>
      <c r="U20" s="13">
        <f t="shared" si="51"/>
        <v>5213784.068928035</v>
      </c>
      <c r="V20" s="13">
        <f t="shared" si="51"/>
        <v>5422335.4316851571</v>
      </c>
      <c r="W20" s="13">
        <f t="shared" si="51"/>
        <v>5639228.8489525635</v>
      </c>
      <c r="X20" s="13">
        <f t="shared" si="51"/>
        <v>5864798.0029106652</v>
      </c>
      <c r="Y20" s="141">
        <f t="shared" si="51"/>
        <v>6099389.9230270917</v>
      </c>
      <c r="Z20" s="13">
        <f t="shared" si="51"/>
        <v>6343365.5199481752</v>
      </c>
      <c r="AA20" s="31">
        <f>$I$20*AA25</f>
        <v>6597100.1407461017</v>
      </c>
      <c r="AB20" s="31">
        <f t="shared" ref="AB20:AE20" si="52">$I$20*AB25</f>
        <v>6860984.1463759458</v>
      </c>
      <c r="AC20" s="31">
        <f t="shared" si="52"/>
        <v>7135423.5122309839</v>
      </c>
      <c r="AD20" s="31">
        <f t="shared" si="52"/>
        <v>7420840.452720223</v>
      </c>
      <c r="AE20" s="92">
        <f t="shared" si="52"/>
        <v>7717674.0708290329</v>
      </c>
    </row>
    <row r="21" spans="1:31" s="2" customFormat="1" ht="16" thickBot="1" x14ac:dyDescent="0.2">
      <c r="A21" s="25" t="s">
        <v>41</v>
      </c>
      <c r="B21" s="78" t="s">
        <v>26</v>
      </c>
      <c r="C21" s="78" t="s">
        <v>26</v>
      </c>
      <c r="D21" s="78" t="s">
        <v>26</v>
      </c>
      <c r="E21" s="78" t="s">
        <v>26</v>
      </c>
      <c r="F21" s="78" t="s">
        <v>26</v>
      </c>
      <c r="G21" s="78" t="s">
        <v>26</v>
      </c>
      <c r="H21" s="78" t="s">
        <v>26</v>
      </c>
      <c r="I21" s="88">
        <v>8627253</v>
      </c>
      <c r="J21" s="13">
        <f>$I$21*J25</f>
        <v>10116810.346671602</v>
      </c>
      <c r="K21" s="13">
        <f t="shared" ref="K21:W21" si="53">$I$21*K25</f>
        <v>10521482.760538464</v>
      </c>
      <c r="L21" s="13">
        <f t="shared" si="53"/>
        <v>10942342.070960002</v>
      </c>
      <c r="M21" s="13">
        <f>$I$21*M25</f>
        <v>11380035.753798403</v>
      </c>
      <c r="N21" s="13">
        <f t="shared" si="53"/>
        <v>11835237.183950339</v>
      </c>
      <c r="O21" s="13">
        <f t="shared" si="53"/>
        <v>12308646.671308352</v>
      </c>
      <c r="P21" s="13">
        <f t="shared" si="53"/>
        <v>12800992.538160685</v>
      </c>
      <c r="Q21" s="13">
        <f t="shared" si="53"/>
        <v>13313032.239687113</v>
      </c>
      <c r="R21" s="13">
        <f t="shared" si="53"/>
        <v>13845553.529274598</v>
      </c>
      <c r="S21" s="13">
        <f t="shared" si="53"/>
        <v>14399375.670445582</v>
      </c>
      <c r="T21" s="13">
        <f t="shared" si="53"/>
        <v>14975350.697263403</v>
      </c>
      <c r="U21" s="13">
        <f t="shared" si="53"/>
        <v>15574364.725153942</v>
      </c>
      <c r="V21" s="13">
        <f t="shared" si="53"/>
        <v>16197339.314160099</v>
      </c>
      <c r="W21" s="13">
        <f t="shared" si="53"/>
        <v>16845232.886726502</v>
      </c>
      <c r="X21" s="13">
        <f>$I$21*X25</f>
        <v>17519042.202195562</v>
      </c>
      <c r="Y21" s="13">
        <f t="shared" ref="Y21" si="54">$I$21*Y25</f>
        <v>18219803.890283383</v>
      </c>
      <c r="Z21" s="13">
        <f t="shared" ref="Z21" si="55">$I$21*Z25</f>
        <v>18948596.04589472</v>
      </c>
      <c r="AA21" s="141">
        <f t="shared" ref="AA21" si="56">$I$21*AA25</f>
        <v>19706539.887730505</v>
      </c>
      <c r="AB21" s="13">
        <f t="shared" ref="AB21" si="57">$I$21*AB25</f>
        <v>20494801.483239725</v>
      </c>
      <c r="AC21" s="13">
        <f t="shared" ref="AC21" si="58">$I$21*AC25</f>
        <v>21314593.542569313</v>
      </c>
      <c r="AD21" s="13">
        <f t="shared" ref="AD21" si="59">$I$21*AD25</f>
        <v>22167177.28427209</v>
      </c>
      <c r="AE21" s="92">
        <f>$I$21*AE25</f>
        <v>23053864.375642974</v>
      </c>
    </row>
    <row r="22" spans="1:31" s="2" customFormat="1" ht="16" thickBot="1" x14ac:dyDescent="0.2">
      <c r="A22" s="25" t="s">
        <v>43</v>
      </c>
      <c r="B22" s="78" t="s">
        <v>26</v>
      </c>
      <c r="C22" s="78" t="s">
        <v>26</v>
      </c>
      <c r="D22" s="78" t="s">
        <v>26</v>
      </c>
      <c r="E22" s="78" t="s">
        <v>26</v>
      </c>
      <c r="F22" s="78" t="s">
        <v>26</v>
      </c>
      <c r="G22" s="78" t="s">
        <v>26</v>
      </c>
      <c r="H22" s="78" t="s">
        <v>26</v>
      </c>
      <c r="I22" s="88">
        <v>2850280</v>
      </c>
      <c r="J22" s="102">
        <f>$I$22*J25</f>
        <v>3342401.3640160006</v>
      </c>
      <c r="K22" s="102">
        <f t="shared" ref="K22:AE22" si="60">$I$22*K25</f>
        <v>3476097.4185766405</v>
      </c>
      <c r="L22" s="102">
        <f>$I$22*L25</f>
        <v>3615141.3153197058</v>
      </c>
      <c r="M22" s="102">
        <f t="shared" si="60"/>
        <v>3759746.9679324939</v>
      </c>
      <c r="N22" s="102">
        <f t="shared" si="60"/>
        <v>3910136.8466497934</v>
      </c>
      <c r="O22" s="102">
        <f t="shared" si="60"/>
        <v>4066542.3205157849</v>
      </c>
      <c r="P22" s="102">
        <f t="shared" si="60"/>
        <v>4229204.0133364163</v>
      </c>
      <c r="Q22" s="102">
        <f t="shared" si="60"/>
        <v>4398372.1738698734</v>
      </c>
      <c r="R22" s="102">
        <f t="shared" si="60"/>
        <v>4574307.060824668</v>
      </c>
      <c r="S22" s="102">
        <f t="shared" si="60"/>
        <v>4757279.3432576545</v>
      </c>
      <c r="T22" s="102">
        <f t="shared" si="60"/>
        <v>4947570.5169879608</v>
      </c>
      <c r="U22" s="102">
        <f t="shared" si="60"/>
        <v>5145473.3376674792</v>
      </c>
      <c r="V22" s="102">
        <f t="shared" si="60"/>
        <v>5351292.2711741785</v>
      </c>
      <c r="W22" s="102">
        <f t="shared" si="60"/>
        <v>5565343.962021146</v>
      </c>
      <c r="X22" s="102">
        <f t="shared" si="60"/>
        <v>5787957.720501991</v>
      </c>
      <c r="Y22" s="102">
        <f t="shared" si="60"/>
        <v>6019476.029322071</v>
      </c>
      <c r="Z22" s="102">
        <f t="shared" si="60"/>
        <v>6260255.0704949535</v>
      </c>
      <c r="AA22" s="102">
        <f t="shared" si="60"/>
        <v>6510665.2733147517</v>
      </c>
      <c r="AB22" s="102">
        <f t="shared" si="60"/>
        <v>6771091.8842473412</v>
      </c>
      <c r="AC22" s="102">
        <f t="shared" si="60"/>
        <v>7041935.5596172344</v>
      </c>
      <c r="AD22" s="102">
        <f t="shared" si="60"/>
        <v>7323612.982001924</v>
      </c>
      <c r="AE22" s="142">
        <f t="shared" si="60"/>
        <v>7616557.5012820018</v>
      </c>
    </row>
    <row r="23" spans="1:31" s="2" customFormat="1" ht="15" x14ac:dyDescent="0.15">
      <c r="A23" s="25" t="s">
        <v>34</v>
      </c>
      <c r="B23" s="78" t="s">
        <v>26</v>
      </c>
      <c r="C23" s="78" t="s">
        <v>26</v>
      </c>
      <c r="D23" s="78" t="s">
        <v>26</v>
      </c>
      <c r="E23" s="78" t="s">
        <v>26</v>
      </c>
      <c r="F23" s="78" t="s">
        <v>26</v>
      </c>
      <c r="G23" s="78" t="s">
        <v>26</v>
      </c>
      <c r="H23" s="78" t="s">
        <v>26</v>
      </c>
      <c r="I23" s="88">
        <v>0</v>
      </c>
      <c r="J23" s="102">
        <f>$I$23*J25</f>
        <v>0</v>
      </c>
      <c r="K23" s="102">
        <f t="shared" ref="K23:AE23" si="61">$I$23*K25</f>
        <v>0</v>
      </c>
      <c r="L23" s="102">
        <f t="shared" si="61"/>
        <v>0</v>
      </c>
      <c r="M23" s="102">
        <f t="shared" si="61"/>
        <v>0</v>
      </c>
      <c r="N23" s="102">
        <f t="shared" si="61"/>
        <v>0</v>
      </c>
      <c r="O23" s="102">
        <f t="shared" si="61"/>
        <v>0</v>
      </c>
      <c r="P23" s="102">
        <f t="shared" si="61"/>
        <v>0</v>
      </c>
      <c r="Q23" s="102">
        <f t="shared" si="61"/>
        <v>0</v>
      </c>
      <c r="R23" s="102">
        <f t="shared" si="61"/>
        <v>0</v>
      </c>
      <c r="S23" s="102">
        <f t="shared" si="61"/>
        <v>0</v>
      </c>
      <c r="T23" s="102">
        <f t="shared" si="61"/>
        <v>0</v>
      </c>
      <c r="U23" s="102">
        <f t="shared" si="61"/>
        <v>0</v>
      </c>
      <c r="V23" s="102">
        <f t="shared" si="61"/>
        <v>0</v>
      </c>
      <c r="W23" s="102">
        <f t="shared" si="61"/>
        <v>0</v>
      </c>
      <c r="X23" s="102">
        <f t="shared" si="61"/>
        <v>0</v>
      </c>
      <c r="Y23" s="102">
        <f t="shared" si="61"/>
        <v>0</v>
      </c>
      <c r="Z23" s="102">
        <f t="shared" si="61"/>
        <v>0</v>
      </c>
      <c r="AA23" s="102">
        <f t="shared" si="61"/>
        <v>0</v>
      </c>
      <c r="AB23" s="102">
        <f t="shared" si="61"/>
        <v>0</v>
      </c>
      <c r="AC23" s="102">
        <f t="shared" si="61"/>
        <v>0</v>
      </c>
      <c r="AD23" s="102">
        <f t="shared" si="61"/>
        <v>0</v>
      </c>
      <c r="AE23" s="109">
        <f t="shared" si="61"/>
        <v>0</v>
      </c>
    </row>
    <row r="24" spans="1:31" s="2" customFormat="1" ht="15" x14ac:dyDescent="0.15">
      <c r="A24" s="25" t="s">
        <v>35</v>
      </c>
      <c r="B24" s="78" t="s">
        <v>26</v>
      </c>
      <c r="C24" s="78" t="s">
        <v>26</v>
      </c>
      <c r="D24" s="78" t="s">
        <v>26</v>
      </c>
      <c r="E24" s="78" t="s">
        <v>26</v>
      </c>
      <c r="F24" s="78" t="s">
        <v>26</v>
      </c>
      <c r="G24" s="78" t="s">
        <v>26</v>
      </c>
      <c r="H24" s="78" t="s">
        <v>26</v>
      </c>
      <c r="I24" s="88">
        <v>0</v>
      </c>
      <c r="J24" s="102">
        <f>$I$23*J25</f>
        <v>0</v>
      </c>
      <c r="K24" s="102">
        <f t="shared" ref="K24:AE24" si="62">$I$23*K25</f>
        <v>0</v>
      </c>
      <c r="L24" s="102">
        <f t="shared" si="62"/>
        <v>0</v>
      </c>
      <c r="M24" s="102">
        <f t="shared" si="62"/>
        <v>0</v>
      </c>
      <c r="N24" s="102">
        <f t="shared" si="62"/>
        <v>0</v>
      </c>
      <c r="O24" s="102">
        <f t="shared" si="62"/>
        <v>0</v>
      </c>
      <c r="P24" s="102">
        <f t="shared" si="62"/>
        <v>0</v>
      </c>
      <c r="Q24" s="102">
        <f t="shared" si="62"/>
        <v>0</v>
      </c>
      <c r="R24" s="102">
        <f t="shared" si="62"/>
        <v>0</v>
      </c>
      <c r="S24" s="102">
        <f t="shared" si="62"/>
        <v>0</v>
      </c>
      <c r="T24" s="102">
        <f t="shared" si="62"/>
        <v>0</v>
      </c>
      <c r="U24" s="102">
        <f t="shared" si="62"/>
        <v>0</v>
      </c>
      <c r="V24" s="102">
        <f t="shared" si="62"/>
        <v>0</v>
      </c>
      <c r="W24" s="102">
        <f t="shared" si="62"/>
        <v>0</v>
      </c>
      <c r="X24" s="102">
        <f t="shared" si="62"/>
        <v>0</v>
      </c>
      <c r="Y24" s="102">
        <f>$I$23*Y25</f>
        <v>0</v>
      </c>
      <c r="Z24" s="102">
        <f t="shared" si="62"/>
        <v>0</v>
      </c>
      <c r="AA24" s="102">
        <f t="shared" si="62"/>
        <v>0</v>
      </c>
      <c r="AB24" s="102">
        <f t="shared" si="62"/>
        <v>0</v>
      </c>
      <c r="AC24" s="102">
        <f t="shared" si="62"/>
        <v>0</v>
      </c>
      <c r="AD24" s="102">
        <f t="shared" si="62"/>
        <v>0</v>
      </c>
      <c r="AE24" s="102">
        <f t="shared" si="62"/>
        <v>0</v>
      </c>
    </row>
    <row r="25" spans="1:31" s="2" customFormat="1" ht="31" thickBot="1" x14ac:dyDescent="0.2">
      <c r="A25" s="62" t="s">
        <v>36</v>
      </c>
      <c r="B25" s="63"/>
      <c r="C25" s="63"/>
      <c r="D25" s="63"/>
      <c r="E25" s="63"/>
      <c r="F25" s="63"/>
      <c r="G25" s="63"/>
      <c r="H25" s="64">
        <v>1.079</v>
      </c>
      <c r="I25" s="65">
        <v>1.1275550000000001</v>
      </c>
      <c r="J25" s="66">
        <v>1.1726572000000002</v>
      </c>
      <c r="K25" s="66">
        <v>1.2195634880000001</v>
      </c>
      <c r="L25" s="66">
        <v>1.26834602752</v>
      </c>
      <c r="M25" s="66">
        <v>1.3190798686208001</v>
      </c>
      <c r="N25" s="66">
        <v>1.371843063365632</v>
      </c>
      <c r="O25" s="66">
        <v>1.4267167859002572</v>
      </c>
      <c r="P25" s="66">
        <v>1.4837854573362674</v>
      </c>
      <c r="Q25" s="66">
        <v>1.5431368756297181</v>
      </c>
      <c r="R25" s="66">
        <v>1.6048623506549069</v>
      </c>
      <c r="S25" s="66">
        <v>1.6690568446811032</v>
      </c>
      <c r="T25" s="66">
        <v>1.7358191184683471</v>
      </c>
      <c r="U25" s="66">
        <v>1.8052518832070812</v>
      </c>
      <c r="V25" s="66">
        <v>1.8774619585353645</v>
      </c>
      <c r="W25" s="66">
        <v>1.952560436876779</v>
      </c>
      <c r="X25" s="66">
        <v>2.0306628543518501</v>
      </c>
      <c r="Y25" s="66">
        <v>2.1118893685259241</v>
      </c>
      <c r="Z25" s="66">
        <v>2.196364943266961</v>
      </c>
      <c r="AA25" s="66">
        <v>2.2842195409976394</v>
      </c>
      <c r="AB25" s="66">
        <v>2.3755883226375447</v>
      </c>
      <c r="AC25" s="66">
        <v>2.4706118555430465</v>
      </c>
      <c r="AD25" s="66">
        <v>2.5694363297647684</v>
      </c>
      <c r="AE25" s="67">
        <v>2.6722137829553594</v>
      </c>
    </row>
    <row r="26" spans="1:31" s="3" customFormat="1" ht="15" thickBot="1" x14ac:dyDescent="0.2">
      <c r="A26" s="37" t="s">
        <v>5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8"/>
    </row>
    <row r="27" spans="1:31" s="2" customFormat="1" ht="46" thickTop="1" x14ac:dyDescent="0.15">
      <c r="A27" s="22" t="s">
        <v>49</v>
      </c>
      <c r="B27" s="17">
        <f>(B5*(B6+B7)*B12)+B13</f>
        <v>25000</v>
      </c>
      <c r="C27" s="17">
        <f t="shared" ref="C27:H27" si="63">(C5*(C6+C7)*C12)+C13</f>
        <v>25416.666666666668</v>
      </c>
      <c r="D27" s="17">
        <f t="shared" si="63"/>
        <v>25416.666666666668</v>
      </c>
      <c r="E27" s="17">
        <f t="shared" si="63"/>
        <v>25416.666666666668</v>
      </c>
      <c r="F27" s="17">
        <f t="shared" si="63"/>
        <v>30000</v>
      </c>
      <c r="G27" s="17">
        <f t="shared" si="63"/>
        <v>30000</v>
      </c>
      <c r="H27" s="17">
        <f t="shared" si="63"/>
        <v>30000</v>
      </c>
      <c r="I27" s="104">
        <f>(I5*(I6+I7)*I12)+I13</f>
        <v>30870</v>
      </c>
      <c r="J27" s="104">
        <f t="shared" ref="J27:AE27" si="64">(J5*(J6+J7)*J12)+J13</f>
        <v>32104.799999999996</v>
      </c>
      <c r="K27" s="104">
        <f t="shared" si="64"/>
        <v>33388.991999999991</v>
      </c>
      <c r="L27" s="104">
        <f t="shared" si="64"/>
        <v>34724.551679999997</v>
      </c>
      <c r="M27" s="104">
        <f t="shared" si="64"/>
        <v>36113.533747200003</v>
      </c>
      <c r="N27" s="104">
        <f t="shared" si="64"/>
        <v>37558.075097088004</v>
      </c>
      <c r="O27" s="104">
        <f t="shared" si="64"/>
        <v>39060.398100971521</v>
      </c>
      <c r="P27" s="104">
        <f t="shared" si="64"/>
        <v>40622.81402501039</v>
      </c>
      <c r="Q27" s="104">
        <f t="shared" si="64"/>
        <v>42247.726586010802</v>
      </c>
      <c r="R27" s="104">
        <f t="shared" si="64"/>
        <v>43937.635649451244</v>
      </c>
      <c r="S27" s="104">
        <f t="shared" si="64"/>
        <v>45695.141075429288</v>
      </c>
      <c r="T27" s="104">
        <f t="shared" si="64"/>
        <v>47522.946718446467</v>
      </c>
      <c r="U27" s="104">
        <f t="shared" si="64"/>
        <v>49423.864587184326</v>
      </c>
      <c r="V27" s="104">
        <f t="shared" si="64"/>
        <v>51400.819170671704</v>
      </c>
      <c r="W27" s="104">
        <f t="shared" si="64"/>
        <v>53456.851937498577</v>
      </c>
      <c r="X27" s="104">
        <f t="shared" si="64"/>
        <v>55595.126014998517</v>
      </c>
      <c r="Y27" s="104">
        <f t="shared" si="64"/>
        <v>57818.931055598456</v>
      </c>
      <c r="Z27" s="104">
        <f t="shared" si="64"/>
        <v>60131.688297822402</v>
      </c>
      <c r="AA27" s="104">
        <f t="shared" si="64"/>
        <v>62536.955829735307</v>
      </c>
      <c r="AB27" s="104">
        <f t="shared" si="64"/>
        <v>65038.434062924724</v>
      </c>
      <c r="AC27" s="104">
        <f t="shared" si="64"/>
        <v>67639.971425441719</v>
      </c>
      <c r="AD27" s="104">
        <f t="shared" si="64"/>
        <v>70345.57028245939</v>
      </c>
      <c r="AE27" s="105">
        <f t="shared" si="64"/>
        <v>73159.393093757768</v>
      </c>
    </row>
    <row r="28" spans="1:31" s="2" customFormat="1" ht="45" x14ac:dyDescent="0.15">
      <c r="A28" s="22" t="s">
        <v>50</v>
      </c>
      <c r="B28" s="17">
        <f>(B5*(B6+B7)*B12*12)+B13</f>
        <v>300000</v>
      </c>
      <c r="C28" s="17">
        <f t="shared" ref="C28:AE28" si="65">(C5*(C6+C7)*C12*12)+C13</f>
        <v>305000</v>
      </c>
      <c r="D28" s="17">
        <f t="shared" si="65"/>
        <v>305000</v>
      </c>
      <c r="E28" s="17">
        <f t="shared" si="65"/>
        <v>305000</v>
      </c>
      <c r="F28" s="17">
        <f t="shared" si="65"/>
        <v>360000</v>
      </c>
      <c r="G28" s="17">
        <f t="shared" si="65"/>
        <v>360000</v>
      </c>
      <c r="H28" s="17">
        <f t="shared" si="65"/>
        <v>360000</v>
      </c>
      <c r="I28" s="104">
        <f>(I5*(I6+I7)*I12*12)+I13</f>
        <v>370440</v>
      </c>
      <c r="J28" s="104">
        <f t="shared" si="65"/>
        <v>385257.6</v>
      </c>
      <c r="K28" s="104">
        <f t="shared" si="65"/>
        <v>400667.90399999986</v>
      </c>
      <c r="L28" s="104">
        <f t="shared" si="65"/>
        <v>416694.62015999993</v>
      </c>
      <c r="M28" s="104">
        <f t="shared" si="65"/>
        <v>433362.4049664</v>
      </c>
      <c r="N28" s="104">
        <f t="shared" si="65"/>
        <v>450696.90116505604</v>
      </c>
      <c r="O28" s="104">
        <f t="shared" si="65"/>
        <v>468724.77721165825</v>
      </c>
      <c r="P28" s="104">
        <f t="shared" si="65"/>
        <v>487473.76830012468</v>
      </c>
      <c r="Q28" s="104">
        <f t="shared" si="65"/>
        <v>506972.71903212962</v>
      </c>
      <c r="R28" s="104">
        <f t="shared" si="65"/>
        <v>527251.62779341498</v>
      </c>
      <c r="S28" s="104">
        <f t="shared" si="65"/>
        <v>548341.69290515152</v>
      </c>
      <c r="T28" s="104">
        <f t="shared" si="65"/>
        <v>570275.36062135757</v>
      </c>
      <c r="U28" s="104">
        <f t="shared" si="65"/>
        <v>593086.37504621188</v>
      </c>
      <c r="V28" s="104">
        <f t="shared" si="65"/>
        <v>616809.83004806051</v>
      </c>
      <c r="W28" s="104">
        <f t="shared" si="65"/>
        <v>641482.22324998293</v>
      </c>
      <c r="X28" s="104">
        <f t="shared" si="65"/>
        <v>667141.51217998215</v>
      </c>
      <c r="Y28" s="104">
        <f t="shared" si="65"/>
        <v>693827.17266718147</v>
      </c>
      <c r="Z28" s="104">
        <f t="shared" si="65"/>
        <v>721580.25957386883</v>
      </c>
      <c r="AA28" s="104">
        <f t="shared" si="65"/>
        <v>750443.46995682362</v>
      </c>
      <c r="AB28" s="104">
        <f t="shared" si="65"/>
        <v>780461.20875509665</v>
      </c>
      <c r="AC28" s="104">
        <f t="shared" si="65"/>
        <v>811679.65710530058</v>
      </c>
      <c r="AD28" s="104">
        <f t="shared" si="65"/>
        <v>844146.84338951274</v>
      </c>
      <c r="AE28" s="105">
        <f t="shared" si="65"/>
        <v>877912.71712509322</v>
      </c>
    </row>
    <row r="29" spans="1:31" s="2" customFormat="1" ht="30" x14ac:dyDescent="0.15">
      <c r="A29" s="22" t="s">
        <v>51</v>
      </c>
      <c r="B29" s="85">
        <f>B11</f>
        <v>6600</v>
      </c>
      <c r="C29" s="85">
        <f>B29+C11</f>
        <v>8200</v>
      </c>
      <c r="D29" s="85">
        <f t="shared" ref="D29:H29" si="66">C29+D11</f>
        <v>9800</v>
      </c>
      <c r="E29" s="85">
        <f t="shared" si="66"/>
        <v>11400</v>
      </c>
      <c r="F29" s="85">
        <f t="shared" si="66"/>
        <v>16799.999999999942</v>
      </c>
      <c r="G29" s="85">
        <f t="shared" si="66"/>
        <v>22199.999999999884</v>
      </c>
      <c r="H29" s="85">
        <f t="shared" si="66"/>
        <v>27599.999999999825</v>
      </c>
      <c r="I29" s="86">
        <f>H29+I11</f>
        <v>35159.999999999825</v>
      </c>
      <c r="J29" s="86">
        <f t="shared" ref="J29:AD29" si="67">I29+J11</f>
        <v>43022.399999999849</v>
      </c>
      <c r="K29" s="86">
        <f t="shared" si="67"/>
        <v>51199.295999999857</v>
      </c>
      <c r="L29" s="86">
        <f t="shared" si="67"/>
        <v>59703.267839999869</v>
      </c>
      <c r="M29" s="86">
        <f t="shared" si="67"/>
        <v>68547.398553599895</v>
      </c>
      <c r="N29" s="86">
        <f t="shared" si="67"/>
        <v>77745.294495743932</v>
      </c>
      <c r="O29" s="86">
        <f t="shared" si="67"/>
        <v>87311.106275573722</v>
      </c>
      <c r="P29" s="86">
        <f t="shared" si="67"/>
        <v>97259.550526596664</v>
      </c>
      <c r="Q29" s="86">
        <f t="shared" si="67"/>
        <v>107605.93254766054</v>
      </c>
      <c r="R29" s="86">
        <f t="shared" si="67"/>
        <v>118366.169849567</v>
      </c>
      <c r="S29" s="86">
        <f t="shared" si="67"/>
        <v>129556.81664354971</v>
      </c>
      <c r="T29" s="86">
        <f t="shared" si="67"/>
        <v>141195.08930929168</v>
      </c>
      <c r="U29" s="86">
        <f t="shared" si="67"/>
        <v>153298.8928816634</v>
      </c>
      <c r="V29" s="86">
        <f t="shared" si="67"/>
        <v>165886.84859692992</v>
      </c>
      <c r="W29" s="86">
        <f t="shared" si="67"/>
        <v>178978.32254080719</v>
      </c>
      <c r="X29" s="86">
        <f t="shared" si="67"/>
        <v>192593.45544243953</v>
      </c>
      <c r="Y29" s="86">
        <f t="shared" si="67"/>
        <v>206753.19366013713</v>
      </c>
      <c r="Z29" s="86">
        <f t="shared" si="67"/>
        <v>221479.32140654267</v>
      </c>
      <c r="AA29" s="86">
        <f t="shared" si="67"/>
        <v>236794.49426280439</v>
      </c>
      <c r="AB29" s="86">
        <f t="shared" si="67"/>
        <v>252722.27403331653</v>
      </c>
      <c r="AC29" s="86">
        <f t="shared" si="67"/>
        <v>269287.16499464924</v>
      </c>
      <c r="AD29" s="86">
        <f t="shared" si="67"/>
        <v>286514.65159443521</v>
      </c>
      <c r="AE29" s="98">
        <f>AD29+AE11</f>
        <v>304431.23765821266</v>
      </c>
    </row>
    <row r="30" spans="1:31" s="2" customFormat="1" ht="30" customHeight="1" x14ac:dyDescent="0.15">
      <c r="A30" s="22" t="s">
        <v>52</v>
      </c>
      <c r="B30" s="17">
        <f>B28</f>
        <v>300000</v>
      </c>
      <c r="C30" s="17">
        <f>B30+C28</f>
        <v>605000</v>
      </c>
      <c r="D30" s="17">
        <f>C30+D28-C31</f>
        <v>910000</v>
      </c>
      <c r="E30" s="17">
        <f>D30+E28-D31</f>
        <v>1215000</v>
      </c>
      <c r="F30" s="17">
        <f t="shared" ref="F30:AE30" si="68">E30+F28-E31</f>
        <v>1575000</v>
      </c>
      <c r="G30" s="17">
        <f t="shared" si="68"/>
        <v>1935000</v>
      </c>
      <c r="H30" s="17">
        <f t="shared" si="68"/>
        <v>2295000</v>
      </c>
      <c r="I30" s="18">
        <f>H30+I28-H31</f>
        <v>2665440</v>
      </c>
      <c r="J30" s="18">
        <f t="shared" si="68"/>
        <v>-10767527.4</v>
      </c>
      <c r="K30" s="18">
        <f t="shared" si="68"/>
        <v>-10366859.496000001</v>
      </c>
      <c r="L30" s="18">
        <f t="shared" si="68"/>
        <v>-9950164.8758400008</v>
      </c>
      <c r="M30" s="18">
        <f t="shared" si="68"/>
        <v>-9516802.4708736017</v>
      </c>
      <c r="N30" s="18">
        <f t="shared" si="68"/>
        <v>-9066105.5697085448</v>
      </c>
      <c r="O30" s="18">
        <f t="shared" si="68"/>
        <v>-8597380.7924968861</v>
      </c>
      <c r="P30" s="18">
        <f t="shared" si="68"/>
        <v>-8109907.0241967617</v>
      </c>
      <c r="Q30" s="18">
        <f t="shared" si="68"/>
        <v>-13699448.189493222</v>
      </c>
      <c r="R30" s="18">
        <f t="shared" si="68"/>
        <v>-13172196.561699808</v>
      </c>
      <c r="S30" s="18">
        <f t="shared" si="68"/>
        <v>-12623854.868794655</v>
      </c>
      <c r="T30" s="18">
        <f t="shared" si="68"/>
        <v>-14250236.904856011</v>
      </c>
      <c r="U30" s="18">
        <f t="shared" si="68"/>
        <v>-13657150.529809799</v>
      </c>
      <c r="V30" s="18">
        <f t="shared" si="68"/>
        <v>-13040340.699761739</v>
      </c>
      <c r="W30" s="18">
        <f t="shared" si="68"/>
        <v>-12398858.476511756</v>
      </c>
      <c r="X30" s="18">
        <f t="shared" si="68"/>
        <v>-17131620.480536349</v>
      </c>
      <c r="Y30" s="18">
        <f t="shared" si="68"/>
        <v>-16437793.307869168</v>
      </c>
      <c r="Z30" s="18">
        <f t="shared" si="68"/>
        <v>-21815602.971322391</v>
      </c>
      <c r="AA30" s="18">
        <f t="shared" si="68"/>
        <v>-21065159.501365568</v>
      </c>
      <c r="AB30" s="18">
        <f t="shared" si="68"/>
        <v>-39991238.180340976</v>
      </c>
      <c r="AC30" s="18">
        <f t="shared" si="68"/>
        <v>-39179558.523235679</v>
      </c>
      <c r="AD30" s="18">
        <f t="shared" si="68"/>
        <v>-38335411.679846168</v>
      </c>
      <c r="AE30" s="39">
        <f t="shared" si="68"/>
        <v>-37457498.962721072</v>
      </c>
    </row>
    <row r="31" spans="1:31" s="2" customFormat="1" ht="15" x14ac:dyDescent="0.15">
      <c r="A31" s="22" t="s">
        <v>32</v>
      </c>
      <c r="B31" s="85"/>
      <c r="C31" s="85">
        <f t="shared" ref="C31:H31" si="69">C14</f>
        <v>0</v>
      </c>
      <c r="D31" s="85">
        <f t="shared" si="69"/>
        <v>0</v>
      </c>
      <c r="E31" s="85">
        <f t="shared" si="69"/>
        <v>0</v>
      </c>
      <c r="F31" s="85">
        <f t="shared" si="69"/>
        <v>0</v>
      </c>
      <c r="G31" s="85">
        <f t="shared" si="69"/>
        <v>0</v>
      </c>
      <c r="H31" s="85">
        <f t="shared" si="69"/>
        <v>0</v>
      </c>
      <c r="I31" s="86">
        <f>I16</f>
        <v>13818225</v>
      </c>
      <c r="J31" s="36"/>
      <c r="K31" s="18"/>
      <c r="L31" s="18"/>
      <c r="M31" s="18"/>
      <c r="N31" s="18"/>
      <c r="O31" s="18"/>
      <c r="P31" s="18">
        <f>P17</f>
        <v>6096513.8843285898</v>
      </c>
      <c r="Q31" s="18"/>
      <c r="R31" s="18"/>
      <c r="S31" s="18">
        <f>S18</f>
        <v>2196657.3966827127</v>
      </c>
      <c r="T31" s="18"/>
      <c r="U31" s="18"/>
      <c r="V31" s="18"/>
      <c r="W31" s="18">
        <f>W19</f>
        <v>5399903.516204576</v>
      </c>
      <c r="X31" s="18"/>
      <c r="Y31" s="18">
        <f>Y20</f>
        <v>6099389.9230270917</v>
      </c>
      <c r="Z31" s="18"/>
      <c r="AA31" s="18">
        <f>AA21</f>
        <v>19706539.887730505</v>
      </c>
      <c r="AB31" s="18"/>
      <c r="AC31" s="18"/>
      <c r="AD31" s="18"/>
      <c r="AE31" s="39">
        <f>AE22</f>
        <v>7616557.5012820018</v>
      </c>
    </row>
    <row r="32" spans="1:31" ht="31" thickBot="1" x14ac:dyDescent="0.2">
      <c r="A32" s="40" t="s">
        <v>53</v>
      </c>
      <c r="B32" s="41"/>
      <c r="C32" s="41">
        <f>C30-C31</f>
        <v>605000</v>
      </c>
      <c r="D32" s="41">
        <f t="shared" ref="D32:H32" si="70">D30-D31</f>
        <v>910000</v>
      </c>
      <c r="E32" s="41">
        <f t="shared" si="70"/>
        <v>1215000</v>
      </c>
      <c r="F32" s="41">
        <f t="shared" si="70"/>
        <v>1575000</v>
      </c>
      <c r="G32" s="41">
        <f t="shared" si="70"/>
        <v>1935000</v>
      </c>
      <c r="H32" s="41">
        <f t="shared" si="70"/>
        <v>2295000</v>
      </c>
      <c r="I32" s="68">
        <f>I30-I31</f>
        <v>-11152785</v>
      </c>
      <c r="J32" s="68">
        <f t="shared" ref="J32:AE32" si="71">J30-J31</f>
        <v>-10767527.4</v>
      </c>
      <c r="K32" s="68">
        <f t="shared" si="71"/>
        <v>-10366859.496000001</v>
      </c>
      <c r="L32" s="68">
        <f t="shared" si="71"/>
        <v>-9950164.8758400008</v>
      </c>
      <c r="M32" s="68">
        <f t="shared" si="71"/>
        <v>-9516802.4708736017</v>
      </c>
      <c r="N32" s="68">
        <f t="shared" si="71"/>
        <v>-9066105.5697085448</v>
      </c>
      <c r="O32" s="68">
        <f t="shared" si="71"/>
        <v>-8597380.7924968861</v>
      </c>
      <c r="P32" s="68">
        <f t="shared" si="71"/>
        <v>-14206420.908525351</v>
      </c>
      <c r="Q32" s="68">
        <f t="shared" si="71"/>
        <v>-13699448.189493222</v>
      </c>
      <c r="R32" s="68">
        <f t="shared" si="71"/>
        <v>-13172196.561699808</v>
      </c>
      <c r="S32" s="68">
        <f t="shared" si="71"/>
        <v>-14820512.265477369</v>
      </c>
      <c r="T32" s="68">
        <f t="shared" si="71"/>
        <v>-14250236.904856011</v>
      </c>
      <c r="U32" s="68">
        <f t="shared" si="71"/>
        <v>-13657150.529809799</v>
      </c>
      <c r="V32" s="68">
        <f t="shared" si="71"/>
        <v>-13040340.699761739</v>
      </c>
      <c r="W32" s="68">
        <f t="shared" si="71"/>
        <v>-17798761.992716331</v>
      </c>
      <c r="X32" s="68">
        <f t="shared" si="71"/>
        <v>-17131620.480536349</v>
      </c>
      <c r="Y32" s="68">
        <f t="shared" si="71"/>
        <v>-22537183.230896261</v>
      </c>
      <c r="Z32" s="68">
        <f t="shared" si="71"/>
        <v>-21815602.971322391</v>
      </c>
      <c r="AA32" s="68">
        <f t="shared" si="71"/>
        <v>-40771699.389096074</v>
      </c>
      <c r="AB32" s="68">
        <f t="shared" si="71"/>
        <v>-39991238.180340976</v>
      </c>
      <c r="AC32" s="68">
        <f t="shared" si="71"/>
        <v>-39179558.523235679</v>
      </c>
      <c r="AD32" s="68">
        <f t="shared" si="71"/>
        <v>-38335411.679846168</v>
      </c>
      <c r="AE32" s="93">
        <f t="shared" si="71"/>
        <v>-45074056.464003071</v>
      </c>
    </row>
    <row r="33" spans="1:31" ht="30" x14ac:dyDescent="0.15">
      <c r="A33" s="69" t="s">
        <v>54</v>
      </c>
      <c r="B33" s="43"/>
      <c r="C33" s="43"/>
      <c r="D33" s="43"/>
      <c r="E33" s="43"/>
      <c r="F33" s="43"/>
      <c r="G33" s="43"/>
      <c r="H33" s="43"/>
      <c r="I33" s="52"/>
      <c r="J33" s="52"/>
      <c r="K33" s="52"/>
      <c r="L33" s="52"/>
      <c r="M33" s="53"/>
      <c r="N33" s="53"/>
      <c r="O33" s="53"/>
      <c r="P33" s="53"/>
      <c r="Q33" s="53"/>
      <c r="R33" s="53"/>
      <c r="S33" s="53"/>
      <c r="T33" s="70"/>
      <c r="U33" s="70"/>
      <c r="V33" s="70"/>
      <c r="W33" s="71"/>
      <c r="X33" s="70"/>
      <c r="Y33" s="70"/>
      <c r="Z33" s="70"/>
      <c r="AA33" s="71"/>
      <c r="AB33" s="70"/>
      <c r="AC33" s="70"/>
      <c r="AD33" s="70"/>
      <c r="AE33" s="72"/>
    </row>
    <row r="34" spans="1:31" ht="30" x14ac:dyDescent="0.15">
      <c r="A34" s="73" t="s">
        <v>67</v>
      </c>
      <c r="B34" s="87"/>
      <c r="C34" s="87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</row>
    <row r="35" spans="1:31" s="111" customFormat="1" ht="30" x14ac:dyDescent="0.15">
      <c r="A35" s="45" t="s">
        <v>55</v>
      </c>
      <c r="B35" s="87"/>
      <c r="C35" s="87"/>
      <c r="D35" s="46"/>
      <c r="E35" s="46"/>
      <c r="F35" s="46"/>
      <c r="G35" s="46"/>
      <c r="H35" s="46"/>
      <c r="I35" s="110">
        <v>12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12</v>
      </c>
      <c r="Q35" s="110">
        <v>0</v>
      </c>
      <c r="R35" s="110">
        <v>0</v>
      </c>
      <c r="S35" s="110">
        <v>12</v>
      </c>
      <c r="T35" s="110">
        <v>0</v>
      </c>
      <c r="U35" s="110">
        <v>0</v>
      </c>
      <c r="V35" s="110">
        <v>0</v>
      </c>
      <c r="W35" s="110">
        <v>12</v>
      </c>
      <c r="X35" s="110">
        <v>0</v>
      </c>
      <c r="Y35" s="110">
        <v>12</v>
      </c>
      <c r="Z35" s="110">
        <v>0</v>
      </c>
      <c r="AA35" s="110">
        <v>12</v>
      </c>
      <c r="AB35" s="110">
        <v>0</v>
      </c>
      <c r="AC35" s="110">
        <v>0</v>
      </c>
      <c r="AD35" s="110">
        <v>0</v>
      </c>
      <c r="AE35" s="112">
        <v>12</v>
      </c>
    </row>
    <row r="36" spans="1:31" s="115" customFormat="1" ht="30" x14ac:dyDescent="0.15">
      <c r="A36" s="45" t="s">
        <v>56</v>
      </c>
      <c r="B36" s="87"/>
      <c r="C36" s="87"/>
      <c r="D36" s="46"/>
      <c r="E36" s="46"/>
      <c r="F36" s="46"/>
      <c r="G36" s="46"/>
      <c r="H36" s="46"/>
      <c r="I36" s="122">
        <f>-IF(I32&lt;0,I32/I5/I35,0)</f>
        <v>265.54250000000002</v>
      </c>
      <c r="J36" s="122" t="e">
        <f>-IF(J32&lt;0,J32/J5/#REF!,0)</f>
        <v>#REF!</v>
      </c>
      <c r="K36" s="122" t="e">
        <f>-IF(K32&lt;0,K32/K5/#REF!,0)</f>
        <v>#REF!</v>
      </c>
      <c r="L36" s="122" t="e">
        <f>-IF(L32&lt;0,L32/L5/#REF!,0)</f>
        <v>#REF!</v>
      </c>
      <c r="M36" s="122" t="e">
        <f>-IF(M32&lt;0,M32/M5/#REF!,0)</f>
        <v>#REF!</v>
      </c>
      <c r="N36" s="122" t="e">
        <f>-IF(N32&lt;0,N32/N5/#REF!,0)</f>
        <v>#REF!</v>
      </c>
      <c r="O36" s="122" t="e">
        <f>-IF(O32&lt;0,O32/O5/#REF!,0)</f>
        <v>#REF!</v>
      </c>
      <c r="P36" s="122">
        <f>-IF(P32&lt;0,P32/P5/P35,0)</f>
        <v>338.24811686965126</v>
      </c>
      <c r="Q36" s="122" t="e">
        <f>-IF(Q32&lt;0,Q32/Q5/Q35,0)</f>
        <v>#DIV/0!</v>
      </c>
      <c r="R36" s="122" t="e">
        <f>-IF(R32&lt;0,R32/R5/R35,0)</f>
        <v>#DIV/0!</v>
      </c>
      <c r="S36" s="122">
        <f>-IF(S32&lt;0,S32/S5/S35,0)</f>
        <v>352.86933965422304</v>
      </c>
      <c r="T36" s="122" t="e">
        <f>-IF(T32&lt;0,T32/T5/T35,0)</f>
        <v>#DIV/0!</v>
      </c>
      <c r="U36" s="122" t="e">
        <f>-IF(U32&lt;0,U32/U5/U35,0)</f>
        <v>#DIV/0!</v>
      </c>
      <c r="V36" s="122" t="e">
        <f>-IF(V32&lt;0,V32/V5/V35,0)</f>
        <v>#DIV/0!</v>
      </c>
      <c r="W36" s="122">
        <f>-IF(W32&lt;0,W32/W5/W35,0)</f>
        <v>423.78004744562691</v>
      </c>
      <c r="X36" s="122" t="e">
        <f>-IF(X32&lt;0,X32/X5/X35,0)</f>
        <v>#DIV/0!</v>
      </c>
      <c r="Y36" s="122">
        <f>-IF(Y32&lt;0,Y32/Y5/Y35,0)</f>
        <v>536.59960073562524</v>
      </c>
      <c r="Z36" s="122" t="e">
        <f>-IF(Z32&lt;0,Z32/Z5/Z35,0)</f>
        <v>#DIV/0!</v>
      </c>
      <c r="AA36" s="122">
        <f>-IF(AA32&lt;0,AA32/AA5/AA35,0)</f>
        <v>970.75474735943033</v>
      </c>
      <c r="AB36" s="122" t="e">
        <f>-IF(AB32&lt;0,AB32/AB5/AB35,0)</f>
        <v>#DIV/0!</v>
      </c>
      <c r="AC36" s="122" t="e">
        <f>-IF(AC32&lt;0,AC32/AC5/AC35,0)</f>
        <v>#DIV/0!</v>
      </c>
      <c r="AD36" s="122" t="e">
        <f>-IF(AD32&lt;0,AD32/AD5/AD35,0)</f>
        <v>#DIV/0!</v>
      </c>
      <c r="AE36" s="114">
        <f>-IF(AE32&lt;0,AE32/AE5/AE35,0)</f>
        <v>1073.1918205715017</v>
      </c>
    </row>
    <row r="37" spans="1:31" s="115" customFormat="1" ht="18" customHeight="1" thickBot="1" x14ac:dyDescent="0.2">
      <c r="A37" s="49" t="s">
        <v>25</v>
      </c>
      <c r="B37" s="131"/>
      <c r="C37" s="131"/>
      <c r="D37" s="50"/>
      <c r="E37" s="50"/>
      <c r="F37" s="50"/>
      <c r="G37" s="50"/>
      <c r="H37" s="50"/>
      <c r="I37" s="132">
        <f>I6+I7+I36</f>
        <v>274.54250000000002</v>
      </c>
      <c r="J37" s="133" t="e">
        <f>J6+J7+J36</f>
        <v>#REF!</v>
      </c>
      <c r="K37" s="132" t="e">
        <f>K6+K7+K36</f>
        <v>#REF!</v>
      </c>
      <c r="L37" s="132" t="e">
        <f>L6+L7+L36</f>
        <v>#REF!</v>
      </c>
      <c r="M37" s="132" t="e">
        <f>M6+M7+M36</f>
        <v>#REF!</v>
      </c>
      <c r="N37" s="132" t="e">
        <f>N6+N7+N36</f>
        <v>#REF!</v>
      </c>
      <c r="O37" s="132" t="e">
        <f>O6+O7+O36</f>
        <v>#REF!</v>
      </c>
      <c r="P37" s="132">
        <f>P6+P7+P36</f>
        <v>350.0915028827738</v>
      </c>
      <c r="Q37" s="132" t="e">
        <f>Q6+Q7+Q36</f>
        <v>#DIV/0!</v>
      </c>
      <c r="R37" s="134" t="e">
        <f>R6+R7+R36</f>
        <v>#DIV/0!</v>
      </c>
      <c r="S37" s="134">
        <f>S6+S7+S36</f>
        <v>366.19153821848812</v>
      </c>
      <c r="T37" s="134" t="e">
        <f>T6+T7+T36</f>
        <v>#DIV/0!</v>
      </c>
      <c r="U37" s="134" t="e">
        <f>U6+U7+U36</f>
        <v>#DIV/0!</v>
      </c>
      <c r="V37" s="134" t="e">
        <f>V6+V7+V36</f>
        <v>#DIV/0!</v>
      </c>
      <c r="W37" s="134">
        <f>W6+W7+W36</f>
        <v>439.36513547405212</v>
      </c>
      <c r="X37" s="134" t="e">
        <f>X6+X7+X36</f>
        <v>#DIV/0!</v>
      </c>
      <c r="Y37" s="134">
        <f>Y6+Y7+Y36</f>
        <v>553.45643194717002</v>
      </c>
      <c r="Z37" s="134" t="e">
        <f>Z6+Z7+Z36</f>
        <v>#DIV/0!</v>
      </c>
      <c r="AA37" s="134">
        <f>AA6+AA7+AA36</f>
        <v>988.98709599783717</v>
      </c>
      <c r="AB37" s="134" t="e">
        <f>AB6+AB7+AB36</f>
        <v>#DIV/0!</v>
      </c>
      <c r="AC37" s="134" t="e">
        <f>AC6+AC7+AC36</f>
        <v>#DIV/0!</v>
      </c>
      <c r="AD37" s="134" t="e">
        <f>AD6+AD7+AD36</f>
        <v>#DIV/0!</v>
      </c>
      <c r="AE37" s="135">
        <f>AE6+AE7+AE36</f>
        <v>1094.5210896950462</v>
      </c>
    </row>
    <row r="38" spans="1:31" ht="30" x14ac:dyDescent="0.15">
      <c r="A38" s="130" t="s">
        <v>61</v>
      </c>
      <c r="B38" s="87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47"/>
      <c r="O38" s="47"/>
      <c r="P38" s="47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5"/>
    </row>
    <row r="39" spans="1:31" ht="15" x14ac:dyDescent="0.15">
      <c r="A39" s="45" t="s">
        <v>57</v>
      </c>
      <c r="B39" s="87"/>
      <c r="C39" s="46"/>
      <c r="D39" s="46"/>
      <c r="E39" s="46"/>
      <c r="F39" s="46"/>
      <c r="G39" s="46"/>
      <c r="H39" s="46"/>
      <c r="I39" s="89">
        <v>0.65</v>
      </c>
      <c r="J39" s="89">
        <v>0.65</v>
      </c>
      <c r="K39" s="89">
        <v>0.65</v>
      </c>
      <c r="L39" s="89">
        <v>0.65</v>
      </c>
      <c r="M39" s="89">
        <v>0.65</v>
      </c>
      <c r="N39" s="89">
        <v>0.65</v>
      </c>
      <c r="O39" s="89">
        <v>0.65</v>
      </c>
      <c r="P39" s="89">
        <v>0.65</v>
      </c>
      <c r="Q39" s="89">
        <v>0.75</v>
      </c>
      <c r="R39" s="89">
        <v>0.75</v>
      </c>
      <c r="S39" s="89">
        <v>0.75</v>
      </c>
      <c r="T39" s="89">
        <v>0.9</v>
      </c>
      <c r="U39" s="89">
        <v>0.9</v>
      </c>
      <c r="V39" s="89">
        <v>0.9</v>
      </c>
      <c r="W39" s="89">
        <v>0.9</v>
      </c>
      <c r="X39" s="89">
        <v>1</v>
      </c>
      <c r="Y39" s="89">
        <v>1</v>
      </c>
      <c r="Z39" s="89">
        <v>1</v>
      </c>
      <c r="AA39" s="89">
        <v>1</v>
      </c>
      <c r="AB39" s="89">
        <v>1</v>
      </c>
      <c r="AC39" s="89">
        <v>1</v>
      </c>
      <c r="AD39" s="89">
        <v>1</v>
      </c>
      <c r="AE39" s="94">
        <v>1</v>
      </c>
    </row>
    <row r="40" spans="1:31" ht="15" x14ac:dyDescent="0.15">
      <c r="A40" s="45" t="s">
        <v>58</v>
      </c>
      <c r="B40" s="87"/>
      <c r="C40" s="46"/>
      <c r="D40" s="46"/>
      <c r="E40" s="46"/>
      <c r="F40" s="46"/>
      <c r="G40" s="46"/>
      <c r="H40" s="46"/>
      <c r="I40" s="116">
        <f>I39*I6</f>
        <v>5.8500000000000005</v>
      </c>
      <c r="J40" s="116">
        <f>J39*J6</f>
        <v>6.0839999999999996</v>
      </c>
      <c r="K40" s="116">
        <f>K39*K6</f>
        <v>6.3273599999999997</v>
      </c>
      <c r="L40" s="116">
        <f>L39*L6</f>
        <v>6.5804543999999998</v>
      </c>
      <c r="M40" s="116">
        <f>M39*M6</f>
        <v>6.8436725760000003</v>
      </c>
      <c r="N40" s="116">
        <f>N39*N6</f>
        <v>7.1174194790400005</v>
      </c>
      <c r="O40" s="116">
        <f>O39*O6</f>
        <v>7.4021162582016009</v>
      </c>
      <c r="P40" s="116">
        <f>P39*P6</f>
        <v>7.6982009085296648</v>
      </c>
      <c r="Q40" s="116">
        <f>Q39*Q6</f>
        <v>9.2378410902355981</v>
      </c>
      <c r="R40" s="116">
        <f>R39*R6</f>
        <v>9.6073547338450229</v>
      </c>
      <c r="S40" s="116">
        <f>S39*S6</f>
        <v>9.9916489231988237</v>
      </c>
      <c r="T40" s="116">
        <f>T39*T6</f>
        <v>12.469577856152133</v>
      </c>
      <c r="U40" s="116">
        <f>U39*U6</f>
        <v>12.968360970398221</v>
      </c>
      <c r="V40" s="116">
        <f>V39*V6</f>
        <v>13.487095409214151</v>
      </c>
      <c r="W40" s="116">
        <f>W39*W6</f>
        <v>14.026579225582717</v>
      </c>
      <c r="X40" s="116">
        <f>X39*X6</f>
        <v>16.20849154956225</v>
      </c>
      <c r="Y40" s="116">
        <f>Y39*Y6</f>
        <v>16.856831211544741</v>
      </c>
      <c r="Z40" s="116">
        <f>Z39*Z6</f>
        <v>17.531104460006532</v>
      </c>
      <c r="AA40" s="116">
        <f>AA39*AA6</f>
        <v>18.232348638406794</v>
      </c>
      <c r="AB40" s="116">
        <f>AB39*AB6</f>
        <v>18.961642583943068</v>
      </c>
      <c r="AC40" s="116">
        <f>AC39*AC6</f>
        <v>19.720108287300793</v>
      </c>
      <c r="AD40" s="116">
        <f>AD39*AD6</f>
        <v>20.508912618792824</v>
      </c>
      <c r="AE40" s="117">
        <f>AE39*AE6</f>
        <v>21.329269123544538</v>
      </c>
    </row>
    <row r="41" spans="1:31" ht="15" x14ac:dyDescent="0.15">
      <c r="A41" s="45" t="s">
        <v>25</v>
      </c>
      <c r="B41" s="46"/>
      <c r="C41" s="46"/>
      <c r="D41" s="46"/>
      <c r="E41" s="46"/>
      <c r="F41" s="46"/>
      <c r="G41" s="46"/>
      <c r="H41" s="46"/>
      <c r="I41" s="118">
        <f>I6+I7+I40</f>
        <v>14.850000000000001</v>
      </c>
      <c r="J41" s="118">
        <f>J6+J7+J40</f>
        <v>15.443999999999999</v>
      </c>
      <c r="K41" s="118">
        <f>K6+K7+K40</f>
        <v>16.06176</v>
      </c>
      <c r="L41" s="118">
        <f>L6+L7+L40</f>
        <v>16.7042304</v>
      </c>
      <c r="M41" s="118">
        <f>M6+M7+M40</f>
        <v>17.372399615999999</v>
      </c>
      <c r="N41" s="118">
        <f>N6+N7+N40</f>
        <v>18.067295600640001</v>
      </c>
      <c r="O41" s="118">
        <f>O6+O7+O40</f>
        <v>18.7899874246656</v>
      </c>
      <c r="P41" s="118">
        <f>P6+P7+P40</f>
        <v>19.541586921652225</v>
      </c>
      <c r="Q41" s="118">
        <f>Q6+Q7+Q40</f>
        <v>21.554962543883065</v>
      </c>
      <c r="R41" s="118">
        <f>R6+R7+R40</f>
        <v>22.417161045638387</v>
      </c>
      <c r="S41" s="118">
        <f>S6+S7+S40</f>
        <v>23.313847487463924</v>
      </c>
      <c r="T41" s="118">
        <f>T6+T7+T40</f>
        <v>26.324664362987839</v>
      </c>
      <c r="U41" s="118">
        <f>U6+U7+U40</f>
        <v>27.377650937507354</v>
      </c>
      <c r="V41" s="118">
        <f>V6+V7+V40</f>
        <v>28.472756975007648</v>
      </c>
      <c r="W41" s="118">
        <f>W6+W7+W40</f>
        <v>29.611667254007955</v>
      </c>
      <c r="X41" s="118">
        <f>X6+X7+X40</f>
        <v>32.416983099124501</v>
      </c>
      <c r="Y41" s="118">
        <f>Y6+Y7+Y40</f>
        <v>33.713662423089481</v>
      </c>
      <c r="Z41" s="118">
        <f>Z6+Z7+Z40</f>
        <v>35.062208920013063</v>
      </c>
      <c r="AA41" s="118">
        <f>AA6+AA7+AA40</f>
        <v>36.464697276813588</v>
      </c>
      <c r="AB41" s="118">
        <f>AB6+AB7+AB40</f>
        <v>37.923285167886135</v>
      </c>
      <c r="AC41" s="118">
        <f>AC6+AC7+AC40</f>
        <v>39.440216574601585</v>
      </c>
      <c r="AD41" s="118">
        <f>AD6+AD7+AD40</f>
        <v>41.017825237585647</v>
      </c>
      <c r="AE41" s="119">
        <f>AE6+AE7+AE40</f>
        <v>42.658538247089076</v>
      </c>
    </row>
    <row r="42" spans="1:31" ht="30" x14ac:dyDescent="0.15">
      <c r="A42" s="45" t="s">
        <v>59</v>
      </c>
      <c r="B42" s="46"/>
      <c r="C42" s="46"/>
      <c r="D42" s="46"/>
      <c r="E42" s="46"/>
      <c r="F42" s="46"/>
      <c r="G42" s="46"/>
      <c r="H42" s="46"/>
      <c r="I42" s="47">
        <f>(I41*12*I12*I5)+I13</f>
        <v>611226.00000000012</v>
      </c>
      <c r="J42" s="47">
        <f>(J41*12*J12*J5)+J13</f>
        <v>635675.03999999992</v>
      </c>
      <c r="K42" s="47">
        <f>(K41*12*K12*K5)+K13</f>
        <v>661102.04159999988</v>
      </c>
      <c r="L42" s="47">
        <f>(L41*12*L12*L5)+L13</f>
        <v>687546.12326400005</v>
      </c>
      <c r="M42" s="47">
        <f>(M41*12*M12*M5)+M13</f>
        <v>715047.96819456003</v>
      </c>
      <c r="N42" s="47">
        <f>(N41*12*N12*N5)+N13</f>
        <v>743649.88692234235</v>
      </c>
      <c r="O42" s="47">
        <f>(O41*12*O12*O5)+O13</f>
        <v>773395.8823992362</v>
      </c>
      <c r="P42" s="47">
        <f>(P41*12*P12*P5)+P13</f>
        <v>804331.71769520559</v>
      </c>
      <c r="Q42" s="47">
        <f>(Q41*12*Q12*Q5)+Q13</f>
        <v>887202.25830622693</v>
      </c>
      <c r="R42" s="47">
        <f>(R41*12*R12*R5)+R13</f>
        <v>922690.34863847622</v>
      </c>
      <c r="S42" s="47">
        <f>(S41*12*S12*S5)+S13</f>
        <v>959597.9625840151</v>
      </c>
      <c r="T42" s="47">
        <f>(T41*12*T12*T5)+T13</f>
        <v>1083523.1851805793</v>
      </c>
      <c r="U42" s="47">
        <f>(U41*12*U12*U5)+U13</f>
        <v>1126864.1125878028</v>
      </c>
      <c r="V42" s="47">
        <f>(V41*12*V12*V5)+V13</f>
        <v>1171938.6770913147</v>
      </c>
      <c r="W42" s="47">
        <f>(W41*12*W12*W5)+W13</f>
        <v>1218816.2241749673</v>
      </c>
      <c r="X42" s="47">
        <f>(X41*12*X12*X5)+X13</f>
        <v>1334283.0243599643</v>
      </c>
      <c r="Y42" s="47">
        <f>(Y41*12*Y12*Y5)+Y13</f>
        <v>1387654.3453343629</v>
      </c>
      <c r="Z42" s="47">
        <f>(Z41*12*Z12*Z5)+Z13</f>
        <v>1443160.5191477377</v>
      </c>
      <c r="AA42" s="47">
        <f>(AA41*12*AA12*AA5)+AA13</f>
        <v>1500886.9399136472</v>
      </c>
      <c r="AB42" s="47">
        <f>(AB41*12*AB12*AB5)+AB13</f>
        <v>1560922.4175101933</v>
      </c>
      <c r="AC42" s="47">
        <f>(AC41*12*AC12*AC5)+AC13</f>
        <v>1623359.3142106014</v>
      </c>
      <c r="AD42" s="47">
        <f>(AD41*12*AD12*AD5)+AD13</f>
        <v>1688293.6867790252</v>
      </c>
      <c r="AE42" s="48">
        <f>(AE41*12*AE12*AE5)+AE13</f>
        <v>1755825.4342501864</v>
      </c>
    </row>
    <row r="43" spans="1:31" ht="21" customHeight="1" x14ac:dyDescent="0.15">
      <c r="A43" s="45" t="s">
        <v>66</v>
      </c>
      <c r="B43" s="46"/>
      <c r="C43" s="46"/>
      <c r="D43" s="46"/>
      <c r="E43" s="46"/>
      <c r="F43" s="46"/>
      <c r="G43" s="46"/>
      <c r="H43" s="46"/>
      <c r="I43" s="47">
        <f>I32</f>
        <v>-11152785</v>
      </c>
      <c r="J43" s="47">
        <f>I43+J42</f>
        <v>-10517109.960000001</v>
      </c>
      <c r="K43" s="47">
        <f>J43+K42</f>
        <v>-9856007.9184000008</v>
      </c>
      <c r="L43" s="47">
        <f>K43+L42</f>
        <v>-9168461.795136001</v>
      </c>
      <c r="M43" s="47">
        <f t="shared" ref="M43:O43" si="72">L43+M42</f>
        <v>-8453413.8269414417</v>
      </c>
      <c r="N43" s="47">
        <f t="shared" si="72"/>
        <v>-7709763.940019099</v>
      </c>
      <c r="O43" s="47">
        <f t="shared" si="72"/>
        <v>-6936368.0576198632</v>
      </c>
      <c r="P43" s="47">
        <f>O43+P42</f>
        <v>-6132036.3399246577</v>
      </c>
      <c r="Q43" s="47">
        <f t="shared" ref="Q43:AE43" si="73">P43+Q42</f>
        <v>-5244834.081618431</v>
      </c>
      <c r="R43" s="47">
        <f t="shared" si="73"/>
        <v>-4322143.7329799552</v>
      </c>
      <c r="S43" s="47">
        <f t="shared" si="73"/>
        <v>-3362545.7703959402</v>
      </c>
      <c r="T43" s="47">
        <f t="shared" si="73"/>
        <v>-2279022.5852153609</v>
      </c>
      <c r="U43" s="47">
        <f t="shared" si="73"/>
        <v>-1152158.472627558</v>
      </c>
      <c r="V43" s="47">
        <f t="shared" si="73"/>
        <v>19780.204463756643</v>
      </c>
      <c r="W43" s="47">
        <f>V43+W42</f>
        <v>1238596.4286387239</v>
      </c>
      <c r="X43" s="47">
        <f t="shared" si="73"/>
        <v>2572879.4529986884</v>
      </c>
      <c r="Y43" s="47">
        <f t="shared" si="73"/>
        <v>3960533.7983330516</v>
      </c>
      <c r="Z43" s="47">
        <f t="shared" si="73"/>
        <v>5403694.3174807895</v>
      </c>
      <c r="AA43" s="47">
        <f t="shared" si="73"/>
        <v>6904581.2573944367</v>
      </c>
      <c r="AB43" s="47">
        <f t="shared" si="73"/>
        <v>8465503.6749046296</v>
      </c>
      <c r="AC43" s="47">
        <f t="shared" si="73"/>
        <v>10088862.989115231</v>
      </c>
      <c r="AD43" s="47">
        <f t="shared" si="73"/>
        <v>11777156.675894257</v>
      </c>
      <c r="AE43" s="48">
        <f t="shared" si="73"/>
        <v>13532982.110144444</v>
      </c>
    </row>
    <row r="44" spans="1:31" ht="31" thickBot="1" x14ac:dyDescent="0.2">
      <c r="A44" s="45" t="s">
        <v>60</v>
      </c>
      <c r="B44" s="46"/>
      <c r="C44" s="46"/>
      <c r="D44" s="46"/>
      <c r="E44" s="46"/>
      <c r="F44" s="46"/>
      <c r="G44" s="46"/>
      <c r="H44" s="46"/>
      <c r="I44" s="47">
        <f>I43</f>
        <v>-11152785</v>
      </c>
      <c r="J44" s="47">
        <f>I44+J42-J31</f>
        <v>-10517109.960000001</v>
      </c>
      <c r="K44" s="47">
        <f>J44+K42-K31</f>
        <v>-9856007.9184000008</v>
      </c>
      <c r="L44" s="47">
        <f>K44+L42-L31</f>
        <v>-9168461.795136001</v>
      </c>
      <c r="M44" s="47">
        <f>L44+M42-M31</f>
        <v>-8453413.8269414417</v>
      </c>
      <c r="N44" s="47">
        <f>M44+N42-N31</f>
        <v>-7709763.940019099</v>
      </c>
      <c r="O44" s="47">
        <f>N44+O42-O31</f>
        <v>-6936368.0576198632</v>
      </c>
      <c r="P44" s="47">
        <f>O44+P42-P31</f>
        <v>-12228550.224253248</v>
      </c>
      <c r="Q44" s="47">
        <f>P44+Q42-Q31</f>
        <v>-11341347.965947021</v>
      </c>
      <c r="R44" s="47">
        <f>Q44+R42-R31</f>
        <v>-10418657.617308544</v>
      </c>
      <c r="S44" s="47">
        <f>R44+S42-S31</f>
        <v>-11655717.051407242</v>
      </c>
      <c r="T44" s="47">
        <f>S44+T42-T31</f>
        <v>-10572193.866226662</v>
      </c>
      <c r="U44" s="47">
        <f>T44+U42-U31</f>
        <v>-9445329.7536388598</v>
      </c>
      <c r="V44" s="47">
        <f>U44+V42-V31</f>
        <v>-8273391.0765475454</v>
      </c>
      <c r="W44" s="47">
        <f>V44+W42-W31</f>
        <v>-12454478.368577154</v>
      </c>
      <c r="X44" s="47">
        <f>W44+X42-X31</f>
        <v>-11120195.344217191</v>
      </c>
      <c r="Y44" s="47">
        <f>X44+Y42-Y31</f>
        <v>-15831930.921909921</v>
      </c>
      <c r="Z44" s="47">
        <f>Y44+Z42-Z31</f>
        <v>-14388770.402762184</v>
      </c>
      <c r="AA44" s="47">
        <f>Z44+AA42-AA31</f>
        <v>-32594423.350579042</v>
      </c>
      <c r="AB44" s="47">
        <f>AA44+AB42-AB31</f>
        <v>-31033500.933068849</v>
      </c>
      <c r="AC44" s="47">
        <f>AB44+AC42-AC31</f>
        <v>-29410141.618858248</v>
      </c>
      <c r="AD44" s="47">
        <f>AC44+AD42-AD31</f>
        <v>-27721847.932079222</v>
      </c>
      <c r="AE44" s="48">
        <f>AD44+AE42-AE31</f>
        <v>-33582579.999111034</v>
      </c>
    </row>
    <row r="45" spans="1:31" ht="30" x14ac:dyDescent="0.15">
      <c r="A45" s="42" t="s">
        <v>62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96"/>
    </row>
    <row r="46" spans="1:31" s="129" customFormat="1" ht="15" x14ac:dyDescent="0.15">
      <c r="A46" s="125" t="s">
        <v>63</v>
      </c>
      <c r="B46" s="126"/>
      <c r="C46" s="126"/>
      <c r="D46" s="126"/>
      <c r="E46" s="126"/>
      <c r="F46" s="126"/>
      <c r="G46" s="126"/>
      <c r="H46" s="126"/>
      <c r="I46" s="127">
        <v>7.5</v>
      </c>
      <c r="J46" s="127">
        <v>7.5</v>
      </c>
      <c r="K46" s="127">
        <v>7.5</v>
      </c>
      <c r="L46" s="127">
        <v>7.5</v>
      </c>
      <c r="M46" s="127">
        <v>7.5</v>
      </c>
      <c r="N46" s="127">
        <v>7.5</v>
      </c>
      <c r="O46" s="127">
        <v>7.5</v>
      </c>
      <c r="P46" s="127">
        <v>8.5</v>
      </c>
      <c r="Q46" s="127">
        <v>8.5</v>
      </c>
      <c r="R46" s="127">
        <v>8.5</v>
      </c>
      <c r="S46" s="127">
        <v>9.5</v>
      </c>
      <c r="T46" s="127">
        <v>13</v>
      </c>
      <c r="U46" s="127">
        <v>13</v>
      </c>
      <c r="V46" s="127">
        <v>13</v>
      </c>
      <c r="W46" s="127">
        <v>15</v>
      </c>
      <c r="X46" s="127">
        <v>15</v>
      </c>
      <c r="Y46" s="127">
        <v>18</v>
      </c>
      <c r="Z46" s="127">
        <v>18</v>
      </c>
      <c r="AA46" s="127">
        <v>18</v>
      </c>
      <c r="AB46" s="127">
        <v>20</v>
      </c>
      <c r="AC46" s="127">
        <v>20</v>
      </c>
      <c r="AD46" s="127">
        <v>20</v>
      </c>
      <c r="AE46" s="128">
        <v>20</v>
      </c>
    </row>
    <row r="47" spans="1:31" s="115" customFormat="1" ht="15" x14ac:dyDescent="0.15">
      <c r="A47" s="123" t="s">
        <v>64</v>
      </c>
      <c r="B47" s="124"/>
      <c r="C47" s="124"/>
      <c r="D47" s="124"/>
      <c r="E47" s="124"/>
      <c r="F47" s="124"/>
      <c r="G47" s="124"/>
      <c r="H47" s="124"/>
      <c r="I47" s="113">
        <f>I46+I6+I7</f>
        <v>16.5</v>
      </c>
      <c r="J47" s="113">
        <f>J46+J6+J7</f>
        <v>16.86</v>
      </c>
      <c r="K47" s="113">
        <f>K46+K6+K7</f>
        <v>17.234400000000001</v>
      </c>
      <c r="L47" s="113">
        <f>L46+L6+L7</f>
        <v>17.623775999999999</v>
      </c>
      <c r="M47" s="113">
        <f>M46+M6+M7</f>
        <v>18.02872704</v>
      </c>
      <c r="N47" s="113">
        <f>N46+N6+N7</f>
        <v>18.449876121599999</v>
      </c>
      <c r="O47" s="113">
        <f>O46+O6+O7</f>
        <v>18.887871166464002</v>
      </c>
      <c r="P47" s="113">
        <f>P46+P6+P7</f>
        <v>20.343386013122561</v>
      </c>
      <c r="Q47" s="113">
        <f>Q46+Q6+Q7</f>
        <v>20.817121453647466</v>
      </c>
      <c r="R47" s="113">
        <f>R46+R6+R7</f>
        <v>21.309806311793366</v>
      </c>
      <c r="S47" s="113">
        <f>S46+S6+S7</f>
        <v>22.822198564265101</v>
      </c>
      <c r="T47" s="113">
        <f>T46+T6+T7</f>
        <v>26.855086506835704</v>
      </c>
      <c r="U47" s="113">
        <f>U46+U6+U7</f>
        <v>27.409289967109132</v>
      </c>
      <c r="V47" s="113">
        <f>V46+V6+V7</f>
        <v>27.9856615657935</v>
      </c>
      <c r="W47" s="113">
        <f>W46+W6+W7</f>
        <v>30.58508802842524</v>
      </c>
      <c r="X47" s="113">
        <f>X46+X6+X7</f>
        <v>31.20849154956225</v>
      </c>
      <c r="Y47" s="113">
        <f>Y46+Y6+Y7</f>
        <v>34.856831211544744</v>
      </c>
      <c r="Z47" s="113">
        <f>Z46+Z6+Z7</f>
        <v>35.531104460006532</v>
      </c>
      <c r="AA47" s="113">
        <f>AA46+AA6+AA7</f>
        <v>36.232348638406791</v>
      </c>
      <c r="AB47" s="113">
        <f>AB46+AB6+AB7</f>
        <v>38.961642583943068</v>
      </c>
      <c r="AC47" s="113">
        <f>AC46+AC6+AC7</f>
        <v>39.720108287300789</v>
      </c>
      <c r="AD47" s="113">
        <f>AD46+AD6+AD7</f>
        <v>40.50891261879282</v>
      </c>
      <c r="AE47" s="114">
        <f>AE46+AE6+AE7</f>
        <v>41.329269123544535</v>
      </c>
    </row>
    <row r="48" spans="1:31" ht="30" x14ac:dyDescent="0.15">
      <c r="A48" s="45" t="s">
        <v>65</v>
      </c>
      <c r="B48" s="46"/>
      <c r="C48" s="46"/>
      <c r="D48" s="46"/>
      <c r="E48" s="46"/>
      <c r="F48" s="46"/>
      <c r="G48" s="46"/>
      <c r="H48" s="46"/>
      <c r="I48" s="47">
        <f>(I47*I5*12*I12)+I13</f>
        <v>679140</v>
      </c>
      <c r="J48" s="47">
        <f>(J47*J5*12*J12)+J13</f>
        <v>693957.6</v>
      </c>
      <c r="K48" s="47">
        <f>(K47*K5*12*K12)+K13</f>
        <v>709367.90399999998</v>
      </c>
      <c r="L48" s="47">
        <f>(L47*L5*12*L12)+L13</f>
        <v>725394.62015999993</v>
      </c>
      <c r="M48" s="47">
        <f>(M47*M5*12*M12)+M13</f>
        <v>742062.4049664</v>
      </c>
      <c r="N48" s="47">
        <f>(N47*N5*12*N12)+N13</f>
        <v>759396.90116505593</v>
      </c>
      <c r="O48" s="47">
        <f>(O47*O5*12*O12)+O13</f>
        <v>777424.77721165831</v>
      </c>
      <c r="P48" s="47">
        <f>(P47*P5*12*P12)+P13</f>
        <v>837333.76830012468</v>
      </c>
      <c r="Q48" s="47">
        <f>(Q47*Q5*12*Q12)+Q13</f>
        <v>856832.71903212974</v>
      </c>
      <c r="R48" s="47">
        <f>(R47*R5*12*R12)+R13</f>
        <v>877111.62779341498</v>
      </c>
      <c r="S48" s="47">
        <f>(S47*S5*12*S12)+S13</f>
        <v>939361.69290515152</v>
      </c>
      <c r="T48" s="47">
        <f>(T47*T5*12*T12)+T13</f>
        <v>1105355.3606213576</v>
      </c>
      <c r="U48" s="47">
        <f>(U47*U5*12*U12)+U13</f>
        <v>1128166.375046212</v>
      </c>
      <c r="V48" s="47">
        <f>(V47*V5*12*V12)+V13</f>
        <v>1151889.8300480605</v>
      </c>
      <c r="W48" s="47">
        <f>(W47*W5*12*W12)+W13</f>
        <v>1258882.2232499828</v>
      </c>
      <c r="X48" s="47">
        <f>(X47*X5*12*X12)+X13</f>
        <v>1284541.5121799824</v>
      </c>
      <c r="Y48" s="47">
        <f>(Y47*Y5*12*Y12)+Y13</f>
        <v>1434707.1726671816</v>
      </c>
      <c r="Z48" s="47">
        <f>(Z47*Z5*12*Z12)+Z13</f>
        <v>1462460.2595738687</v>
      </c>
      <c r="AA48" s="47">
        <f>(AA47*AA5*12*AA12)+AA13</f>
        <v>1491323.4699568236</v>
      </c>
      <c r="AB48" s="47">
        <f>(AB47*AB5*12*AB12)+AB13</f>
        <v>1603661.2087550964</v>
      </c>
      <c r="AC48" s="47">
        <f>(AC47*AC5*12*AC12)+AC13</f>
        <v>1634879.6571053006</v>
      </c>
      <c r="AD48" s="47">
        <f>(AD47*AD5*12*AD12)+AD13</f>
        <v>1667346.8433895127</v>
      </c>
      <c r="AE48" s="48">
        <f>(AE47*AE5*12*AE12)+AE13</f>
        <v>1701112.7171250931</v>
      </c>
    </row>
    <row r="49" spans="1:31" ht="15" x14ac:dyDescent="0.15">
      <c r="A49" s="45" t="s">
        <v>66</v>
      </c>
      <c r="B49" s="46"/>
      <c r="C49" s="46"/>
      <c r="D49" s="46"/>
      <c r="E49" s="46"/>
      <c r="F49" s="46"/>
      <c r="G49" s="46"/>
      <c r="H49" s="46"/>
      <c r="I49" s="47">
        <f>I32</f>
        <v>-11152785</v>
      </c>
      <c r="J49" s="47">
        <f>I49+J48</f>
        <v>-10458827.4</v>
      </c>
      <c r="K49" s="47">
        <f>J49+K48</f>
        <v>-9749459.4960000012</v>
      </c>
      <c r="L49" s="47">
        <f>K49+L48</f>
        <v>-9024064.8758400008</v>
      </c>
      <c r="M49" s="47">
        <f t="shared" ref="M49:AE49" si="74">L49+M48</f>
        <v>-8282002.4708736008</v>
      </c>
      <c r="N49" s="47">
        <f t="shared" si="74"/>
        <v>-7522605.5697085448</v>
      </c>
      <c r="O49" s="47">
        <f t="shared" si="74"/>
        <v>-6745180.7924968861</v>
      </c>
      <c r="P49" s="47">
        <f t="shared" si="74"/>
        <v>-5907847.0241967617</v>
      </c>
      <c r="Q49" s="47">
        <f t="shared" si="74"/>
        <v>-5051014.3051646315</v>
      </c>
      <c r="R49" s="47">
        <f t="shared" si="74"/>
        <v>-4173902.6773712165</v>
      </c>
      <c r="S49" s="47">
        <f t="shared" si="74"/>
        <v>-3234540.9844660647</v>
      </c>
      <c r="T49" s="47">
        <f t="shared" si="74"/>
        <v>-2129185.6238447074</v>
      </c>
      <c r="U49" s="47">
        <f t="shared" si="74"/>
        <v>-1001019.2487984954</v>
      </c>
      <c r="V49" s="47">
        <f t="shared" si="74"/>
        <v>150870.58124956512</v>
      </c>
      <c r="W49" s="47">
        <f t="shared" si="74"/>
        <v>1409752.8044995479</v>
      </c>
      <c r="X49" s="47">
        <f t="shared" si="74"/>
        <v>2694294.3166795303</v>
      </c>
      <c r="Y49" s="47">
        <f t="shared" si="74"/>
        <v>4129001.4893467119</v>
      </c>
      <c r="Z49" s="47">
        <f t="shared" si="74"/>
        <v>5591461.7489205804</v>
      </c>
      <c r="AA49" s="47">
        <f t="shared" si="74"/>
        <v>7082785.218877404</v>
      </c>
      <c r="AB49" s="47">
        <f t="shared" si="74"/>
        <v>8686446.4276324995</v>
      </c>
      <c r="AC49" s="47">
        <f t="shared" si="74"/>
        <v>10321326.0847378</v>
      </c>
      <c r="AD49" s="47">
        <f t="shared" si="74"/>
        <v>11988672.928127313</v>
      </c>
      <c r="AE49" s="48">
        <f t="shared" si="74"/>
        <v>13689785.645252407</v>
      </c>
    </row>
    <row r="50" spans="1:31" ht="31" thickBot="1" x14ac:dyDescent="0.2">
      <c r="A50" s="49" t="s">
        <v>60</v>
      </c>
      <c r="B50" s="50"/>
      <c r="C50" s="50"/>
      <c r="D50" s="50"/>
      <c r="E50" s="50"/>
      <c r="F50" s="50"/>
      <c r="G50" s="50"/>
      <c r="H50" s="50"/>
      <c r="I50" s="51">
        <f>I49</f>
        <v>-11152785</v>
      </c>
      <c r="J50" s="51">
        <f>I50+J48-J31</f>
        <v>-10458827.4</v>
      </c>
      <c r="K50" s="51">
        <f>J50+K48-K31</f>
        <v>-9749459.4960000012</v>
      </c>
      <c r="L50" s="51">
        <f>K50+L48-L31</f>
        <v>-9024064.8758400008</v>
      </c>
      <c r="M50" s="51">
        <f>L50+M48-M31</f>
        <v>-8282002.4708736008</v>
      </c>
      <c r="N50" s="51">
        <f>M50+N48-N31</f>
        <v>-7522605.5697085448</v>
      </c>
      <c r="O50" s="51">
        <f>N50+O48-O31</f>
        <v>-6745180.7924968861</v>
      </c>
      <c r="P50" s="51">
        <f>O50+P48-P31</f>
        <v>-12004360.908525351</v>
      </c>
      <c r="Q50" s="51">
        <f>P50+Q48-Q31</f>
        <v>-11147528.189493222</v>
      </c>
      <c r="R50" s="51">
        <f>Q50+R48-R31</f>
        <v>-10270416.561699808</v>
      </c>
      <c r="S50" s="51">
        <f>R50+S48-S31</f>
        <v>-11527712.265477369</v>
      </c>
      <c r="T50" s="51">
        <f>S50+T48-T31</f>
        <v>-10422356.904856011</v>
      </c>
      <c r="U50" s="51">
        <f>T50+U48-U31</f>
        <v>-9294190.529809799</v>
      </c>
      <c r="V50" s="51">
        <f>U50+V48-V31</f>
        <v>-8142300.699761739</v>
      </c>
      <c r="W50" s="51">
        <f>V50+W48-W31</f>
        <v>-12283321.992716331</v>
      </c>
      <c r="X50" s="51">
        <f>W50+X48-X31</f>
        <v>-10998780.480536349</v>
      </c>
      <c r="Y50" s="51">
        <f>X50+Y48-Y31</f>
        <v>-15663463.230896261</v>
      </c>
      <c r="Z50" s="51">
        <f>Y50+Z48-Z31</f>
        <v>-14201002.971322391</v>
      </c>
      <c r="AA50" s="51">
        <f>Z50+AA48-AA31</f>
        <v>-32416219.389096074</v>
      </c>
      <c r="AB50" s="51">
        <f>AA50+AB48-AB31</f>
        <v>-30812558.180340976</v>
      </c>
      <c r="AC50" s="51">
        <f>AB50+AC48-AC31</f>
        <v>-29177678.523235675</v>
      </c>
      <c r="AD50" s="51">
        <f>AC50+AD48-AD31</f>
        <v>-27510331.679846164</v>
      </c>
      <c r="AE50" s="95">
        <f>AD50+AE48-AE31</f>
        <v>-33425776.464003075</v>
      </c>
    </row>
    <row r="54" spans="1:31" ht="16" x14ac:dyDescent="0.2">
      <c r="A54" s="120"/>
    </row>
  </sheetData>
  <sheetProtection algorithmName="SHA-512" hashValue="pJWnKZXL7e3MaSruXXq5uxQUXslhKRQhEU/ifRdY0atsSyrDgPn4Hj+/0hs/drkEdfzAtAmcMNxOaiiigPexDg==" saltValue="M+YPppfXqjLEktH8msRRjg==" spinCount="100000" sheet="1" objects="1" scenarios="1"/>
  <mergeCells count="1">
    <mergeCell ref="A2:R2"/>
  </mergeCells>
  <conditionalFormatting sqref="I26:AE32">
    <cfRule type="cellIs" dxfId="4" priority="34" operator="lessThanOrEqual">
      <formula>0</formula>
    </cfRule>
  </conditionalFormatting>
  <conditionalFormatting sqref="B30:XFD30">
    <cfRule type="cellIs" dxfId="3" priority="5" operator="lessThan">
      <formula>0</formula>
    </cfRule>
  </conditionalFormatting>
  <conditionalFormatting sqref="AE30">
    <cfRule type="cellIs" dxfId="2" priority="4" operator="lessThan">
      <formula>0</formula>
    </cfRule>
  </conditionalFormatting>
  <conditionalFormatting sqref="B32:H32">
    <cfRule type="cellIs" dxfId="1" priority="3" operator="lessThan">
      <formula>0</formula>
    </cfRule>
  </conditionalFormatting>
  <conditionalFormatting sqref="A30:XFD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Евгения Железова</cp:lastModifiedBy>
  <dcterms:created xsi:type="dcterms:W3CDTF">2021-10-26T16:19:19Z</dcterms:created>
  <dcterms:modified xsi:type="dcterms:W3CDTF">2022-02-18T06:54:49Z</dcterms:modified>
</cp:coreProperties>
</file>