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Kolesnikov.FOND\Documents\Целевой капитал\2022\Вебинар развитие систем ВиВ\"/>
    </mc:Choice>
  </mc:AlternateContent>
  <bookViews>
    <workbookView xWindow="0" yWindow="0" windowWidth="28800" windowHeight="11880" activeTab="3"/>
  </bookViews>
  <sheets>
    <sheet name="Водопроводные сети" sheetId="1" r:id="rId1"/>
    <sheet name="Канализационные сети" sheetId="3" r:id="rId2"/>
    <sheet name="Сооружения водоснабжения" sheetId="4" r:id="rId3"/>
    <sheet name="Сооружения водоотведения" sheetId="5" r:id="rId4"/>
    <sheet name="Свод и выручка Водоканала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1" i="5" l="1"/>
  <c r="L140" i="5"/>
  <c r="M140" i="5"/>
  <c r="N140" i="5"/>
  <c r="O140" i="5"/>
  <c r="P140" i="5"/>
  <c r="Q140" i="5"/>
  <c r="R140" i="5"/>
  <c r="S140" i="5"/>
  <c r="K140" i="5"/>
  <c r="R145" i="5"/>
  <c r="Q145" i="5"/>
  <c r="Q144" i="5"/>
  <c r="R144" i="5"/>
  <c r="S144" i="5"/>
  <c r="P144" i="5"/>
  <c r="N142" i="5"/>
  <c r="M142" i="5"/>
  <c r="O143" i="5"/>
  <c r="P143" i="5"/>
  <c r="N143" i="5"/>
  <c r="L141" i="5"/>
  <c r="M141" i="5"/>
  <c r="N141" i="5"/>
  <c r="K141" i="5"/>
  <c r="J140" i="5"/>
  <c r="I140" i="5"/>
  <c r="H140" i="5"/>
  <c r="G140" i="5"/>
  <c r="F140" i="5"/>
  <c r="E45" i="3" l="1"/>
  <c r="E45" i="1"/>
  <c r="P13" i="6" l="1"/>
  <c r="P12" i="6"/>
  <c r="P11" i="6"/>
  <c r="C7" i="6" l="1"/>
  <c r="D7" i="6"/>
  <c r="E7" i="6"/>
  <c r="F7" i="6"/>
  <c r="G7" i="6"/>
  <c r="H7" i="6"/>
  <c r="I7" i="6"/>
  <c r="J7" i="6"/>
  <c r="K7" i="6"/>
  <c r="L7" i="6"/>
  <c r="M7" i="6"/>
  <c r="N7" i="6"/>
  <c r="O7" i="6"/>
  <c r="B7" i="6"/>
  <c r="T140" i="5"/>
  <c r="P7" i="6" s="1"/>
  <c r="G132" i="5"/>
  <c r="F134" i="5"/>
  <c r="F132" i="5" s="1"/>
  <c r="G134" i="5"/>
  <c r="H134" i="5"/>
  <c r="I134" i="5"/>
  <c r="J134" i="5"/>
  <c r="J132" i="5" s="1"/>
  <c r="F133" i="5"/>
  <c r="G133" i="5"/>
  <c r="H133" i="5"/>
  <c r="H132" i="5" s="1"/>
  <c r="I133" i="5"/>
  <c r="I132" i="5" s="1"/>
  <c r="J133" i="5"/>
  <c r="L133" i="5"/>
  <c r="M133" i="5"/>
  <c r="N133" i="5"/>
  <c r="O133" i="5"/>
  <c r="O132" i="5" s="1"/>
  <c r="P133" i="5"/>
  <c r="Q133" i="5"/>
  <c r="R133" i="5"/>
  <c r="S133" i="5"/>
  <c r="S132" i="5" s="1"/>
  <c r="L134" i="5"/>
  <c r="M134" i="5"/>
  <c r="N134" i="5"/>
  <c r="O134" i="5"/>
  <c r="P134" i="5"/>
  <c r="Q134" i="5"/>
  <c r="R134" i="5"/>
  <c r="S134" i="5"/>
  <c r="K134" i="5"/>
  <c r="K133" i="5"/>
  <c r="K132" i="5" s="1"/>
  <c r="L129" i="5"/>
  <c r="F131" i="5"/>
  <c r="G131" i="5"/>
  <c r="H131" i="5"/>
  <c r="I131" i="5"/>
  <c r="K131" i="5"/>
  <c r="L131" i="5"/>
  <c r="M131" i="5"/>
  <c r="N131" i="5"/>
  <c r="O131" i="5"/>
  <c r="P131" i="5"/>
  <c r="Q131" i="5"/>
  <c r="R131" i="5"/>
  <c r="S131" i="5"/>
  <c r="J131" i="5"/>
  <c r="F130" i="5"/>
  <c r="G130" i="5"/>
  <c r="G129" i="5" s="1"/>
  <c r="H130" i="5"/>
  <c r="I130" i="5"/>
  <c r="K130" i="5"/>
  <c r="L130" i="5"/>
  <c r="M130" i="5"/>
  <c r="M129" i="5" s="1"/>
  <c r="N130" i="5"/>
  <c r="N129" i="5" s="1"/>
  <c r="O130" i="5"/>
  <c r="P130" i="5"/>
  <c r="P129" i="5" s="1"/>
  <c r="Q130" i="5"/>
  <c r="Q129" i="5" s="1"/>
  <c r="R130" i="5"/>
  <c r="R129" i="5" s="1"/>
  <c r="S130" i="5"/>
  <c r="J130" i="5"/>
  <c r="J129" i="5" s="1"/>
  <c r="F128" i="5"/>
  <c r="G128" i="5"/>
  <c r="G126" i="5" s="1"/>
  <c r="H128" i="5"/>
  <c r="I128" i="5"/>
  <c r="J128" i="5"/>
  <c r="K128" i="5"/>
  <c r="L128" i="5"/>
  <c r="M128" i="5"/>
  <c r="N128" i="5"/>
  <c r="O128" i="5"/>
  <c r="P128" i="5"/>
  <c r="R128" i="5"/>
  <c r="S128" i="5"/>
  <c r="Q128" i="5"/>
  <c r="F127" i="5"/>
  <c r="G127" i="5"/>
  <c r="H127" i="5"/>
  <c r="H126" i="5" s="1"/>
  <c r="I127" i="5"/>
  <c r="I126" i="5" s="1"/>
  <c r="J127" i="5"/>
  <c r="K127" i="5"/>
  <c r="K126" i="5" s="1"/>
  <c r="L127" i="5"/>
  <c r="L126" i="5" s="1"/>
  <c r="M127" i="5"/>
  <c r="M126" i="5" s="1"/>
  <c r="N127" i="5"/>
  <c r="O127" i="5"/>
  <c r="O126" i="5" s="1"/>
  <c r="P127" i="5"/>
  <c r="P126" i="5" s="1"/>
  <c r="R127" i="5"/>
  <c r="S127" i="5"/>
  <c r="Q127" i="5"/>
  <c r="Q124" i="5"/>
  <c r="F125" i="5"/>
  <c r="G125" i="5"/>
  <c r="H125" i="5"/>
  <c r="I125" i="5"/>
  <c r="J125" i="5"/>
  <c r="K125" i="5"/>
  <c r="L125" i="5"/>
  <c r="M125" i="5"/>
  <c r="O125" i="5"/>
  <c r="P125" i="5"/>
  <c r="Q125" i="5"/>
  <c r="R125" i="5"/>
  <c r="R123" i="5" s="1"/>
  <c r="S125" i="5"/>
  <c r="N125" i="5"/>
  <c r="F124" i="5"/>
  <c r="F123" i="5" s="1"/>
  <c r="G124" i="5"/>
  <c r="G123" i="5" s="1"/>
  <c r="H124" i="5"/>
  <c r="H123" i="5" s="1"/>
  <c r="I124" i="5"/>
  <c r="J124" i="5"/>
  <c r="J123" i="5" s="1"/>
  <c r="K124" i="5"/>
  <c r="K123" i="5" s="1"/>
  <c r="L124" i="5"/>
  <c r="L123" i="5" s="1"/>
  <c r="M124" i="5"/>
  <c r="O124" i="5"/>
  <c r="O123" i="5" s="1"/>
  <c r="P124" i="5"/>
  <c r="R124" i="5"/>
  <c r="S124" i="5"/>
  <c r="S123" i="5" s="1"/>
  <c r="F119" i="5"/>
  <c r="G119" i="5"/>
  <c r="H119" i="5"/>
  <c r="I119" i="5"/>
  <c r="J119" i="5"/>
  <c r="K119" i="5"/>
  <c r="L119" i="5"/>
  <c r="M119" i="5"/>
  <c r="N119" i="5"/>
  <c r="P119" i="5"/>
  <c r="Q119" i="5"/>
  <c r="R119" i="5"/>
  <c r="S119" i="5"/>
  <c r="P118" i="5"/>
  <c r="P117" i="5" s="1"/>
  <c r="Q118" i="5"/>
  <c r="Q117" i="5" s="1"/>
  <c r="R118" i="5"/>
  <c r="R117" i="5" s="1"/>
  <c r="S118" i="5"/>
  <c r="S117" i="5" s="1"/>
  <c r="O119" i="5"/>
  <c r="F118" i="5"/>
  <c r="G118" i="5"/>
  <c r="H118" i="5"/>
  <c r="I118" i="5"/>
  <c r="J118" i="5"/>
  <c r="J117" i="5" s="1"/>
  <c r="K118" i="5"/>
  <c r="L118" i="5"/>
  <c r="M118" i="5"/>
  <c r="O118" i="5"/>
  <c r="N118" i="5"/>
  <c r="N124" i="5"/>
  <c r="N123" i="5" s="1"/>
  <c r="F122" i="5"/>
  <c r="G122" i="5"/>
  <c r="G120" i="5" s="1"/>
  <c r="H122" i="5"/>
  <c r="I122" i="5"/>
  <c r="J122" i="5"/>
  <c r="K122" i="5"/>
  <c r="L122" i="5"/>
  <c r="M122" i="5"/>
  <c r="N122" i="5"/>
  <c r="O122" i="5"/>
  <c r="Q122" i="5"/>
  <c r="R122" i="5"/>
  <c r="S122" i="5"/>
  <c r="F121" i="5"/>
  <c r="G121" i="5"/>
  <c r="H121" i="5"/>
  <c r="H120" i="5" s="1"/>
  <c r="I121" i="5"/>
  <c r="I120" i="5" s="1"/>
  <c r="J121" i="5"/>
  <c r="K121" i="5"/>
  <c r="K120" i="5" s="1"/>
  <c r="L121" i="5"/>
  <c r="L120" i="5" s="1"/>
  <c r="M121" i="5"/>
  <c r="M120" i="5" s="1"/>
  <c r="N121" i="5"/>
  <c r="O121" i="5"/>
  <c r="O120" i="5" s="1"/>
  <c r="Q121" i="5"/>
  <c r="Q120" i="5" s="1"/>
  <c r="R121" i="5"/>
  <c r="R120" i="5" s="1"/>
  <c r="S121" i="5"/>
  <c r="P122" i="5"/>
  <c r="P121" i="5"/>
  <c r="P120" i="5" s="1"/>
  <c r="H117" i="5"/>
  <c r="L117" i="5"/>
  <c r="F116" i="5"/>
  <c r="G116" i="5"/>
  <c r="H116" i="5"/>
  <c r="I116" i="5"/>
  <c r="J116" i="5"/>
  <c r="L116" i="5"/>
  <c r="M116" i="5"/>
  <c r="N116" i="5"/>
  <c r="O116" i="5"/>
  <c r="P116" i="5"/>
  <c r="Q116" i="5"/>
  <c r="R116" i="5"/>
  <c r="S116" i="5"/>
  <c r="K116" i="5"/>
  <c r="F115" i="5"/>
  <c r="G115" i="5"/>
  <c r="H115" i="5"/>
  <c r="I115" i="5"/>
  <c r="J115" i="5"/>
  <c r="L115" i="5"/>
  <c r="M115" i="5"/>
  <c r="N115" i="5"/>
  <c r="O115" i="5"/>
  <c r="P115" i="5"/>
  <c r="Q115" i="5"/>
  <c r="R115" i="5"/>
  <c r="S115" i="5"/>
  <c r="K115" i="5"/>
  <c r="F112" i="5"/>
  <c r="G112" i="5"/>
  <c r="H112" i="5"/>
  <c r="I112" i="5"/>
  <c r="J112" i="5"/>
  <c r="L112" i="5"/>
  <c r="M112" i="5"/>
  <c r="N112" i="5"/>
  <c r="O112" i="5"/>
  <c r="P112" i="5"/>
  <c r="Q112" i="5"/>
  <c r="R112" i="5"/>
  <c r="S112" i="5"/>
  <c r="K112" i="5"/>
  <c r="F111" i="5"/>
  <c r="G111" i="5"/>
  <c r="H111" i="5"/>
  <c r="I111" i="5"/>
  <c r="I110" i="5" s="1"/>
  <c r="J111" i="5"/>
  <c r="L111" i="5"/>
  <c r="M111" i="5"/>
  <c r="N111" i="5"/>
  <c r="N110" i="5" s="1"/>
  <c r="O111" i="5"/>
  <c r="P111" i="5"/>
  <c r="Q111" i="5"/>
  <c r="R111" i="5"/>
  <c r="R110" i="5" s="1"/>
  <c r="S111" i="5"/>
  <c r="K111" i="5"/>
  <c r="H109" i="5"/>
  <c r="F108" i="5"/>
  <c r="G108" i="5"/>
  <c r="I108" i="5"/>
  <c r="J108" i="5"/>
  <c r="K108" i="5"/>
  <c r="L108" i="5"/>
  <c r="M108" i="5"/>
  <c r="N108" i="5"/>
  <c r="O108" i="5"/>
  <c r="P108" i="5"/>
  <c r="Q108" i="5"/>
  <c r="R108" i="5"/>
  <c r="S108" i="5"/>
  <c r="H108" i="5"/>
  <c r="F106" i="5"/>
  <c r="G106" i="5"/>
  <c r="H106" i="5"/>
  <c r="I106" i="5"/>
  <c r="J106" i="5"/>
  <c r="K106" i="5"/>
  <c r="L106" i="5"/>
  <c r="M106" i="5"/>
  <c r="O106" i="5"/>
  <c r="P106" i="5"/>
  <c r="Q106" i="5"/>
  <c r="R106" i="5"/>
  <c r="S106" i="5"/>
  <c r="N106" i="5"/>
  <c r="F105" i="5"/>
  <c r="G105" i="5"/>
  <c r="H105" i="5"/>
  <c r="I105" i="5"/>
  <c r="J105" i="5"/>
  <c r="K105" i="5"/>
  <c r="L105" i="5"/>
  <c r="M105" i="5"/>
  <c r="O105" i="5"/>
  <c r="P105" i="5"/>
  <c r="Q105" i="5"/>
  <c r="R105" i="5"/>
  <c r="S105" i="5"/>
  <c r="N105" i="5"/>
  <c r="F103" i="5"/>
  <c r="G103" i="5"/>
  <c r="I103" i="5"/>
  <c r="J103" i="5"/>
  <c r="K103" i="5"/>
  <c r="L103" i="5"/>
  <c r="M103" i="5"/>
  <c r="N103" i="5"/>
  <c r="O103" i="5"/>
  <c r="P103" i="5"/>
  <c r="Q103" i="5"/>
  <c r="R103" i="5"/>
  <c r="S103" i="5"/>
  <c r="H103" i="5"/>
  <c r="F102" i="5"/>
  <c r="G102" i="5"/>
  <c r="I102" i="5"/>
  <c r="J102" i="5"/>
  <c r="K102" i="5"/>
  <c r="L102" i="5"/>
  <c r="M102" i="5"/>
  <c r="N102" i="5"/>
  <c r="O102" i="5"/>
  <c r="P102" i="5"/>
  <c r="Q102" i="5"/>
  <c r="R102" i="5"/>
  <c r="S102" i="5"/>
  <c r="H102" i="5"/>
  <c r="F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G100" i="5"/>
  <c r="F99" i="5"/>
  <c r="H99" i="5"/>
  <c r="I99" i="5"/>
  <c r="J99" i="5"/>
  <c r="K99" i="5"/>
  <c r="L99" i="5"/>
  <c r="M99" i="5"/>
  <c r="N99" i="5"/>
  <c r="O99" i="5"/>
  <c r="P99" i="5"/>
  <c r="Q99" i="5"/>
  <c r="R99" i="5"/>
  <c r="S99" i="5"/>
  <c r="G99" i="5"/>
  <c r="E42" i="5"/>
  <c r="E41" i="5"/>
  <c r="E39" i="5"/>
  <c r="E38" i="5"/>
  <c r="E36" i="5"/>
  <c r="E35" i="5"/>
  <c r="E33" i="5"/>
  <c r="E32" i="5"/>
  <c r="E30" i="5"/>
  <c r="E29" i="5"/>
  <c r="E27" i="5"/>
  <c r="E26" i="5"/>
  <c r="N132" i="5" l="1"/>
  <c r="P110" i="5"/>
  <c r="L110" i="5"/>
  <c r="S120" i="5"/>
  <c r="N120" i="5"/>
  <c r="J120" i="5"/>
  <c r="F120" i="5"/>
  <c r="E120" i="5" s="1"/>
  <c r="Q123" i="5"/>
  <c r="S126" i="5"/>
  <c r="N126" i="5"/>
  <c r="J126" i="5"/>
  <c r="T128" i="5"/>
  <c r="T126" i="5" s="1"/>
  <c r="I129" i="5"/>
  <c r="Q132" i="5"/>
  <c r="M132" i="5"/>
  <c r="R132" i="5"/>
  <c r="E132" i="5" s="1"/>
  <c r="H110" i="5"/>
  <c r="K117" i="5"/>
  <c r="G117" i="5"/>
  <c r="M117" i="5"/>
  <c r="I117" i="5"/>
  <c r="M123" i="5"/>
  <c r="I123" i="5"/>
  <c r="P123" i="5"/>
  <c r="E123" i="5" s="1"/>
  <c r="Q126" i="5"/>
  <c r="T127" i="5"/>
  <c r="R126" i="5"/>
  <c r="S129" i="5"/>
  <c r="O129" i="5"/>
  <c r="K129" i="5"/>
  <c r="F129" i="5"/>
  <c r="H129" i="5"/>
  <c r="P132" i="5"/>
  <c r="L132" i="5"/>
  <c r="O117" i="5"/>
  <c r="T125" i="5"/>
  <c r="E129" i="5"/>
  <c r="F126" i="5"/>
  <c r="T130" i="5"/>
  <c r="K110" i="5"/>
  <c r="G110" i="5"/>
  <c r="T122" i="5"/>
  <c r="T134" i="5"/>
  <c r="T131" i="5"/>
  <c r="T121" i="5"/>
  <c r="T133" i="5"/>
  <c r="S110" i="5"/>
  <c r="O110" i="5"/>
  <c r="J110" i="5"/>
  <c r="F110" i="5"/>
  <c r="Q110" i="5"/>
  <c r="M110" i="5"/>
  <c r="F117" i="5"/>
  <c r="T124" i="5"/>
  <c r="N117" i="5"/>
  <c r="T119" i="5"/>
  <c r="T118" i="5"/>
  <c r="T112" i="5"/>
  <c r="T111" i="5"/>
  <c r="T110" i="5" s="1"/>
  <c r="E7" i="5"/>
  <c r="E117" i="5" l="1"/>
  <c r="T123" i="5"/>
  <c r="E126" i="5"/>
  <c r="T129" i="5"/>
  <c r="T132" i="5"/>
  <c r="T120" i="5"/>
  <c r="T117" i="5"/>
  <c r="F75" i="4"/>
  <c r="G75" i="4"/>
  <c r="I75" i="4"/>
  <c r="J75" i="4"/>
  <c r="K75" i="4"/>
  <c r="L75" i="4"/>
  <c r="M75" i="4"/>
  <c r="N75" i="4"/>
  <c r="O75" i="4"/>
  <c r="P75" i="4"/>
  <c r="Q75" i="4"/>
  <c r="R75" i="4"/>
  <c r="S75" i="4"/>
  <c r="H75" i="4"/>
  <c r="F74" i="4"/>
  <c r="F73" i="4" s="1"/>
  <c r="G74" i="4"/>
  <c r="I74" i="4"/>
  <c r="J74" i="4"/>
  <c r="K74" i="4"/>
  <c r="L74" i="4"/>
  <c r="M74" i="4"/>
  <c r="N74" i="4"/>
  <c r="O74" i="4"/>
  <c r="P74" i="4"/>
  <c r="Q74" i="4"/>
  <c r="R74" i="4"/>
  <c r="S74" i="4"/>
  <c r="H74" i="4"/>
  <c r="E192" i="5"/>
  <c r="E197" i="5" s="1"/>
  <c r="G138" i="5"/>
  <c r="H138" i="5" s="1"/>
  <c r="I138" i="5" s="1"/>
  <c r="J138" i="5" s="1"/>
  <c r="K138" i="5" s="1"/>
  <c r="L138" i="5" s="1"/>
  <c r="M138" i="5" s="1"/>
  <c r="N138" i="5" s="1"/>
  <c r="O138" i="5" s="1"/>
  <c r="P138" i="5" s="1"/>
  <c r="Q138" i="5" s="1"/>
  <c r="R138" i="5" s="1"/>
  <c r="S138" i="5" s="1"/>
  <c r="F138" i="5"/>
  <c r="S109" i="5"/>
  <c r="R109" i="5"/>
  <c r="Q109" i="5"/>
  <c r="P109" i="5"/>
  <c r="O109" i="5"/>
  <c r="N109" i="5"/>
  <c r="M109" i="5"/>
  <c r="L109" i="5"/>
  <c r="K109" i="5"/>
  <c r="J109" i="5"/>
  <c r="I109" i="5"/>
  <c r="G109" i="5"/>
  <c r="F109" i="5"/>
  <c r="R104" i="5"/>
  <c r="O104" i="5"/>
  <c r="N104" i="5"/>
  <c r="K104" i="5"/>
  <c r="J104" i="5"/>
  <c r="F104" i="5"/>
  <c r="L101" i="5"/>
  <c r="R101" i="5"/>
  <c r="E24" i="5"/>
  <c r="E23" i="5"/>
  <c r="E17" i="5"/>
  <c r="E16" i="5"/>
  <c r="E14" i="5"/>
  <c r="E13" i="5"/>
  <c r="E11" i="5"/>
  <c r="E10" i="5"/>
  <c r="E8" i="5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F78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F76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F72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F71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F69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F68" i="4"/>
  <c r="F66" i="4"/>
  <c r="H66" i="4"/>
  <c r="I66" i="4"/>
  <c r="J66" i="4"/>
  <c r="K66" i="4"/>
  <c r="L66" i="4"/>
  <c r="M66" i="4"/>
  <c r="N66" i="4"/>
  <c r="O66" i="4"/>
  <c r="P66" i="4"/>
  <c r="Q66" i="4"/>
  <c r="R66" i="4"/>
  <c r="S66" i="4"/>
  <c r="G66" i="4"/>
  <c r="F65" i="4"/>
  <c r="H65" i="4"/>
  <c r="I65" i="4"/>
  <c r="J65" i="4"/>
  <c r="K65" i="4"/>
  <c r="L65" i="4"/>
  <c r="M65" i="4"/>
  <c r="N65" i="4"/>
  <c r="O65" i="4"/>
  <c r="P65" i="4"/>
  <c r="Q65" i="4"/>
  <c r="R65" i="4"/>
  <c r="S65" i="4"/>
  <c r="G65" i="4"/>
  <c r="S77" i="4" l="1"/>
  <c r="K77" i="4"/>
  <c r="G77" i="4"/>
  <c r="R114" i="5"/>
  <c r="R113" i="5" s="1"/>
  <c r="P101" i="5"/>
  <c r="S104" i="5"/>
  <c r="T106" i="5"/>
  <c r="N101" i="5"/>
  <c r="J114" i="5"/>
  <c r="J113" i="5" s="1"/>
  <c r="N114" i="5"/>
  <c r="N113" i="5" s="1"/>
  <c r="Q64" i="4"/>
  <c r="I64" i="4"/>
  <c r="Q70" i="4"/>
  <c r="M70" i="4"/>
  <c r="I70" i="4"/>
  <c r="S67" i="4"/>
  <c r="O67" i="4"/>
  <c r="K67" i="4"/>
  <c r="G67" i="4"/>
  <c r="Q67" i="4"/>
  <c r="M67" i="4"/>
  <c r="M64" i="4"/>
  <c r="F64" i="4"/>
  <c r="O77" i="4"/>
  <c r="I67" i="4"/>
  <c r="H107" i="5"/>
  <c r="L107" i="5"/>
  <c r="P107" i="5"/>
  <c r="K114" i="5"/>
  <c r="K113" i="5" s="1"/>
  <c r="O114" i="5"/>
  <c r="O113" i="5" s="1"/>
  <c r="S114" i="5"/>
  <c r="S113" i="5" s="1"/>
  <c r="N98" i="5"/>
  <c r="N135" i="5" s="1"/>
  <c r="I101" i="5"/>
  <c r="M101" i="5"/>
  <c r="Q101" i="5"/>
  <c r="H114" i="5"/>
  <c r="H113" i="5" s="1"/>
  <c r="L114" i="5"/>
  <c r="L113" i="5" s="1"/>
  <c r="P114" i="5"/>
  <c r="P113" i="5" s="1"/>
  <c r="F114" i="5"/>
  <c r="F113" i="5" s="1"/>
  <c r="H98" i="5"/>
  <c r="H135" i="5" s="1"/>
  <c r="L98" i="5"/>
  <c r="P98" i="5"/>
  <c r="F98" i="5"/>
  <c r="J98" i="5"/>
  <c r="R98" i="5"/>
  <c r="G101" i="5"/>
  <c r="K101" i="5"/>
  <c r="O101" i="5"/>
  <c r="S101" i="5"/>
  <c r="H104" i="5"/>
  <c r="L104" i="5"/>
  <c r="P104" i="5"/>
  <c r="J107" i="5"/>
  <c r="N107" i="5"/>
  <c r="I98" i="5"/>
  <c r="M98" i="5"/>
  <c r="Q98" i="5"/>
  <c r="H101" i="5"/>
  <c r="I104" i="5"/>
  <c r="M104" i="5"/>
  <c r="Q104" i="5"/>
  <c r="G107" i="5"/>
  <c r="K107" i="5"/>
  <c r="O107" i="5"/>
  <c r="S107" i="5"/>
  <c r="T102" i="5"/>
  <c r="T115" i="5"/>
  <c r="F77" i="4"/>
  <c r="P77" i="4"/>
  <c r="L77" i="4"/>
  <c r="H77" i="4"/>
  <c r="R77" i="4"/>
  <c r="N77" i="4"/>
  <c r="J77" i="4"/>
  <c r="Q77" i="4"/>
  <c r="M77" i="4"/>
  <c r="I77" i="4"/>
  <c r="R73" i="4"/>
  <c r="N73" i="4"/>
  <c r="Q73" i="4"/>
  <c r="M73" i="4"/>
  <c r="I73" i="4"/>
  <c r="J73" i="4"/>
  <c r="H73" i="4"/>
  <c r="G73" i="4"/>
  <c r="G70" i="4"/>
  <c r="R70" i="4"/>
  <c r="N70" i="4"/>
  <c r="J70" i="4"/>
  <c r="T72" i="4"/>
  <c r="P70" i="4"/>
  <c r="L70" i="4"/>
  <c r="H70" i="4"/>
  <c r="R67" i="4"/>
  <c r="N67" i="4"/>
  <c r="J67" i="4"/>
  <c r="P67" i="4"/>
  <c r="L67" i="4"/>
  <c r="H67" i="4"/>
  <c r="T79" i="4"/>
  <c r="T78" i="4"/>
  <c r="T76" i="4"/>
  <c r="E76" i="4"/>
  <c r="S73" i="4"/>
  <c r="O73" i="4"/>
  <c r="K73" i="4"/>
  <c r="T75" i="4"/>
  <c r="S70" i="4"/>
  <c r="O70" i="4"/>
  <c r="K70" i="4"/>
  <c r="T71" i="4"/>
  <c r="T69" i="4"/>
  <c r="G64" i="4"/>
  <c r="P64" i="4"/>
  <c r="L64" i="4"/>
  <c r="H64" i="4"/>
  <c r="S64" i="4"/>
  <c r="O64" i="4"/>
  <c r="K64" i="4"/>
  <c r="R64" i="4"/>
  <c r="N64" i="4"/>
  <c r="J64" i="4"/>
  <c r="T100" i="5"/>
  <c r="T99" i="5"/>
  <c r="K98" i="5"/>
  <c r="O98" i="5"/>
  <c r="S98" i="5"/>
  <c r="I114" i="5"/>
  <c r="I113" i="5" s="1"/>
  <c r="I135" i="5" s="1"/>
  <c r="M114" i="5"/>
  <c r="M113" i="5" s="1"/>
  <c r="Q114" i="5"/>
  <c r="Q113" i="5" s="1"/>
  <c r="T116" i="5"/>
  <c r="T109" i="5"/>
  <c r="M107" i="5"/>
  <c r="I107" i="5"/>
  <c r="Q107" i="5"/>
  <c r="R107" i="5"/>
  <c r="E110" i="5"/>
  <c r="T108" i="5"/>
  <c r="T105" i="5"/>
  <c r="J101" i="5"/>
  <c r="T103" i="5"/>
  <c r="P73" i="4"/>
  <c r="L73" i="4"/>
  <c r="T74" i="4"/>
  <c r="E195" i="5"/>
  <c r="G98" i="5"/>
  <c r="G104" i="5"/>
  <c r="G114" i="5"/>
  <c r="G113" i="5" s="1"/>
  <c r="E194" i="5"/>
  <c r="E199" i="5"/>
  <c r="F101" i="5"/>
  <c r="F107" i="5"/>
  <c r="E198" i="5"/>
  <c r="F192" i="5"/>
  <c r="T68" i="4"/>
  <c r="F67" i="4"/>
  <c r="F70" i="4"/>
  <c r="T66" i="4"/>
  <c r="T65" i="4"/>
  <c r="E24" i="4"/>
  <c r="E25" i="4"/>
  <c r="E22" i="4"/>
  <c r="E21" i="4"/>
  <c r="E20" i="4"/>
  <c r="E18" i="4"/>
  <c r="E17" i="4"/>
  <c r="E12" i="4"/>
  <c r="E15" i="4"/>
  <c r="E10" i="4"/>
  <c r="E7" i="4"/>
  <c r="E137" i="4"/>
  <c r="E142" i="4" s="1"/>
  <c r="G83" i="4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F83" i="4"/>
  <c r="G50" i="3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F50" i="3"/>
  <c r="E46" i="3"/>
  <c r="E44" i="3"/>
  <c r="E43" i="3"/>
  <c r="S41" i="3"/>
  <c r="R41" i="3"/>
  <c r="Q41" i="3"/>
  <c r="P41" i="3"/>
  <c r="O41" i="3"/>
  <c r="N41" i="3"/>
  <c r="M41" i="3"/>
  <c r="L41" i="3"/>
  <c r="K41" i="3"/>
  <c r="J41" i="3"/>
  <c r="I41" i="3"/>
  <c r="H41" i="3"/>
  <c r="T41" i="3" s="1"/>
  <c r="G41" i="3"/>
  <c r="F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T39" i="3"/>
  <c r="F39" i="3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T36" i="3"/>
  <c r="F36" i="3"/>
  <c r="S35" i="3"/>
  <c r="S44" i="3" s="1"/>
  <c r="R35" i="3"/>
  <c r="R44" i="3" s="1"/>
  <c r="Q35" i="3"/>
  <c r="P35" i="3"/>
  <c r="O35" i="3"/>
  <c r="O44" i="3" s="1"/>
  <c r="N35" i="3"/>
  <c r="N44" i="3" s="1"/>
  <c r="M35" i="3"/>
  <c r="L35" i="3"/>
  <c r="K35" i="3"/>
  <c r="K44" i="3" s="1"/>
  <c r="J35" i="3"/>
  <c r="J44" i="3" s="1"/>
  <c r="I35" i="3"/>
  <c r="H35" i="3"/>
  <c r="G35" i="3"/>
  <c r="G44" i="3" s="1"/>
  <c r="F35" i="3"/>
  <c r="F44" i="3" s="1"/>
  <c r="S34" i="3"/>
  <c r="S43" i="3" s="1"/>
  <c r="R34" i="3"/>
  <c r="Q34" i="3"/>
  <c r="P34" i="3"/>
  <c r="P43" i="3" s="1"/>
  <c r="O34" i="3"/>
  <c r="O43" i="3" s="1"/>
  <c r="N34" i="3"/>
  <c r="M34" i="3"/>
  <c r="L34" i="3"/>
  <c r="L43" i="3" s="1"/>
  <c r="K34" i="3"/>
  <c r="K43" i="3" s="1"/>
  <c r="J34" i="3"/>
  <c r="I34" i="3"/>
  <c r="H34" i="3"/>
  <c r="H43" i="3" s="1"/>
  <c r="G34" i="3"/>
  <c r="G43" i="3" s="1"/>
  <c r="F34" i="3"/>
  <c r="T33" i="3"/>
  <c r="F33" i="3"/>
  <c r="G33" i="3" s="1"/>
  <c r="T31" i="3"/>
  <c r="E104" i="1"/>
  <c r="E109" i="1" s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F50" i="1"/>
  <c r="E46" i="1"/>
  <c r="E44" i="1"/>
  <c r="E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T39" i="1"/>
  <c r="F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T38" i="1" s="1"/>
  <c r="S37" i="1"/>
  <c r="R37" i="1"/>
  <c r="Q37" i="1"/>
  <c r="P37" i="1"/>
  <c r="P43" i="1" s="1"/>
  <c r="O37" i="1"/>
  <c r="N37" i="1"/>
  <c r="M37" i="1"/>
  <c r="L37" i="1"/>
  <c r="L43" i="1" s="1"/>
  <c r="K37" i="1"/>
  <c r="J37" i="1"/>
  <c r="I37" i="1"/>
  <c r="H37" i="1"/>
  <c r="H43" i="1" s="1"/>
  <c r="G37" i="1"/>
  <c r="F37" i="1"/>
  <c r="T36" i="1"/>
  <c r="G36" i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F36" i="1"/>
  <c r="S35" i="1"/>
  <c r="R35" i="1"/>
  <c r="Q35" i="1"/>
  <c r="Q44" i="1" s="1"/>
  <c r="P35" i="1"/>
  <c r="O35" i="1"/>
  <c r="N35" i="1"/>
  <c r="M35" i="1"/>
  <c r="M44" i="1" s="1"/>
  <c r="L35" i="1"/>
  <c r="K35" i="1"/>
  <c r="J35" i="1"/>
  <c r="I35" i="1"/>
  <c r="I44" i="1" s="1"/>
  <c r="H35" i="1"/>
  <c r="G35" i="1"/>
  <c r="F35" i="1"/>
  <c r="S34" i="1"/>
  <c r="S43" i="1" s="1"/>
  <c r="R34" i="1"/>
  <c r="Q34" i="1"/>
  <c r="Q43" i="1" s="1"/>
  <c r="P34" i="1"/>
  <c r="O34" i="1"/>
  <c r="O43" i="1" s="1"/>
  <c r="N34" i="1"/>
  <c r="M34" i="1"/>
  <c r="M43" i="1" s="1"/>
  <c r="L34" i="1"/>
  <c r="K34" i="1"/>
  <c r="K43" i="1" s="1"/>
  <c r="J34" i="1"/>
  <c r="I34" i="1"/>
  <c r="I43" i="1" s="1"/>
  <c r="H34" i="1"/>
  <c r="G34" i="1"/>
  <c r="G43" i="1" s="1"/>
  <c r="F34" i="1"/>
  <c r="T33" i="1"/>
  <c r="F33" i="1"/>
  <c r="T31" i="1"/>
  <c r="F31" i="3" l="1"/>
  <c r="T34" i="3"/>
  <c r="J43" i="3"/>
  <c r="N43" i="3"/>
  <c r="N47" i="3" s="1"/>
  <c r="R43" i="3"/>
  <c r="H44" i="3"/>
  <c r="H47" i="3" s="1"/>
  <c r="L44" i="3"/>
  <c r="L47" i="3" s="1"/>
  <c r="P44" i="3"/>
  <c r="P47" i="3" s="1"/>
  <c r="T37" i="3"/>
  <c r="G36" i="3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I43" i="3"/>
  <c r="M43" i="3"/>
  <c r="Q43" i="3"/>
  <c r="E47" i="3"/>
  <c r="I44" i="3"/>
  <c r="M44" i="3"/>
  <c r="T44" i="3" s="1"/>
  <c r="Q44" i="3"/>
  <c r="T40" i="3"/>
  <c r="E47" i="1"/>
  <c r="J135" i="5"/>
  <c r="E113" i="5"/>
  <c r="G135" i="5"/>
  <c r="G139" i="5" s="1"/>
  <c r="Q135" i="5"/>
  <c r="Q139" i="5" s="1"/>
  <c r="O135" i="5"/>
  <c r="P135" i="5"/>
  <c r="F135" i="5"/>
  <c r="F139" i="5" s="1"/>
  <c r="S135" i="5"/>
  <c r="S139" i="5" s="1"/>
  <c r="M135" i="5"/>
  <c r="M139" i="5" s="1"/>
  <c r="K135" i="5"/>
  <c r="R135" i="5"/>
  <c r="R139" i="5" s="1"/>
  <c r="L135" i="5"/>
  <c r="L139" i="5" s="1"/>
  <c r="J47" i="3"/>
  <c r="R47" i="3"/>
  <c r="T40" i="1"/>
  <c r="J43" i="1"/>
  <c r="R43" i="1"/>
  <c r="J44" i="1"/>
  <c r="N44" i="1"/>
  <c r="R44" i="1"/>
  <c r="N43" i="1"/>
  <c r="T34" i="1"/>
  <c r="H44" i="1"/>
  <c r="L44" i="1"/>
  <c r="L47" i="1" s="1"/>
  <c r="P44" i="1"/>
  <c r="P47" i="1" s="1"/>
  <c r="E107" i="1"/>
  <c r="M80" i="4"/>
  <c r="I80" i="4"/>
  <c r="T104" i="5"/>
  <c r="N139" i="5"/>
  <c r="P139" i="5"/>
  <c r="T101" i="5"/>
  <c r="T98" i="5"/>
  <c r="K139" i="5"/>
  <c r="I84" i="4"/>
  <c r="I85" i="4" s="1"/>
  <c r="E6" i="6" s="1"/>
  <c r="M84" i="4"/>
  <c r="M85" i="4" s="1"/>
  <c r="I6" i="6" s="1"/>
  <c r="T67" i="4"/>
  <c r="T70" i="4"/>
  <c r="G80" i="4"/>
  <c r="G84" i="4" s="1"/>
  <c r="G85" i="4" s="1"/>
  <c r="C6" i="6" s="1"/>
  <c r="T77" i="4"/>
  <c r="S80" i="4"/>
  <c r="S84" i="4" s="1"/>
  <c r="S85" i="4" s="1"/>
  <c r="O6" i="6" s="1"/>
  <c r="Q80" i="4"/>
  <c r="Q84" i="4" s="1"/>
  <c r="Q85" i="4" s="1"/>
  <c r="M6" i="6" s="1"/>
  <c r="E70" i="4"/>
  <c r="T114" i="5"/>
  <c r="T113" i="5" s="1"/>
  <c r="O139" i="5"/>
  <c r="J139" i="5"/>
  <c r="H139" i="5"/>
  <c r="E101" i="5"/>
  <c r="E104" i="5"/>
  <c r="E77" i="4"/>
  <c r="N80" i="4"/>
  <c r="N84" i="4" s="1"/>
  <c r="N85" i="4" s="1"/>
  <c r="J6" i="6" s="1"/>
  <c r="J80" i="4"/>
  <c r="J84" i="4" s="1"/>
  <c r="J85" i="4" s="1"/>
  <c r="F6" i="6" s="1"/>
  <c r="H80" i="4"/>
  <c r="H84" i="4" s="1"/>
  <c r="H85" i="4" s="1"/>
  <c r="D6" i="6" s="1"/>
  <c r="E73" i="4"/>
  <c r="K80" i="4"/>
  <c r="K84" i="4" s="1"/>
  <c r="K85" i="4" s="1"/>
  <c r="G6" i="6" s="1"/>
  <c r="E67" i="4"/>
  <c r="P80" i="4"/>
  <c r="P84" i="4" s="1"/>
  <c r="P85" i="4" s="1"/>
  <c r="L6" i="6" s="1"/>
  <c r="R80" i="4"/>
  <c r="R84" i="4" s="1"/>
  <c r="R85" i="4" s="1"/>
  <c r="N6" i="6" s="1"/>
  <c r="T73" i="4"/>
  <c r="O80" i="4"/>
  <c r="O84" i="4" s="1"/>
  <c r="O85" i="4" s="1"/>
  <c r="K6" i="6" s="1"/>
  <c r="F80" i="4"/>
  <c r="F84" i="4" s="1"/>
  <c r="F85" i="4" s="1"/>
  <c r="B6" i="6" s="1"/>
  <c r="L80" i="4"/>
  <c r="L84" i="4" s="1"/>
  <c r="L85" i="4" s="1"/>
  <c r="H6" i="6" s="1"/>
  <c r="E64" i="4"/>
  <c r="E114" i="5"/>
  <c r="I139" i="5"/>
  <c r="E107" i="5"/>
  <c r="T107" i="5"/>
  <c r="E98" i="5"/>
  <c r="F198" i="5"/>
  <c r="F199" i="5"/>
  <c r="F194" i="5"/>
  <c r="F195" i="5"/>
  <c r="F197" i="5"/>
  <c r="G192" i="5"/>
  <c r="T64" i="4"/>
  <c r="E139" i="4"/>
  <c r="E140" i="4"/>
  <c r="E144" i="4"/>
  <c r="E143" i="4"/>
  <c r="F137" i="4"/>
  <c r="G47" i="3"/>
  <c r="K47" i="3"/>
  <c r="O47" i="3"/>
  <c r="S47" i="3"/>
  <c r="H33" i="3"/>
  <c r="T35" i="3"/>
  <c r="F43" i="3"/>
  <c r="F32" i="3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T38" i="3"/>
  <c r="T41" i="1"/>
  <c r="F44" i="1"/>
  <c r="T35" i="1"/>
  <c r="H47" i="1"/>
  <c r="F31" i="1"/>
  <c r="G33" i="1"/>
  <c r="I47" i="1"/>
  <c r="M47" i="1"/>
  <c r="Q47" i="1"/>
  <c r="G44" i="1"/>
  <c r="G47" i="1" s="1"/>
  <c r="K44" i="1"/>
  <c r="K47" i="1" s="1"/>
  <c r="O44" i="1"/>
  <c r="O47" i="1" s="1"/>
  <c r="S44" i="1"/>
  <c r="S47" i="1" s="1"/>
  <c r="T37" i="1"/>
  <c r="F43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E106" i="1"/>
  <c r="E111" i="1"/>
  <c r="E110" i="1"/>
  <c r="F104" i="1"/>
  <c r="Q47" i="3" l="1"/>
  <c r="M47" i="3"/>
  <c r="G31" i="3"/>
  <c r="I47" i="3"/>
  <c r="R47" i="1"/>
  <c r="T135" i="5"/>
  <c r="J47" i="1"/>
  <c r="N47" i="1"/>
  <c r="T80" i="4"/>
  <c r="E80" i="4"/>
  <c r="E135" i="5"/>
  <c r="T139" i="5"/>
  <c r="G199" i="5"/>
  <c r="G194" i="5"/>
  <c r="G195" i="5"/>
  <c r="G197" i="5"/>
  <c r="H192" i="5"/>
  <c r="G198" i="5"/>
  <c r="F143" i="4"/>
  <c r="F144" i="4"/>
  <c r="F139" i="4"/>
  <c r="F140" i="4"/>
  <c r="F142" i="4"/>
  <c r="G137" i="4"/>
  <c r="F47" i="3"/>
  <c r="T43" i="3"/>
  <c r="I33" i="3"/>
  <c r="H31" i="3"/>
  <c r="G31" i="1"/>
  <c r="H33" i="1"/>
  <c r="F110" i="1"/>
  <c r="F111" i="1"/>
  <c r="F106" i="1"/>
  <c r="F107" i="1"/>
  <c r="F109" i="1"/>
  <c r="G104" i="1"/>
  <c r="F47" i="1"/>
  <c r="T43" i="1"/>
  <c r="T44" i="1"/>
  <c r="H195" i="5" l="1"/>
  <c r="H197" i="5"/>
  <c r="I192" i="5"/>
  <c r="H198" i="5"/>
  <c r="H199" i="5"/>
  <c r="H194" i="5"/>
  <c r="G144" i="4"/>
  <c r="G139" i="4"/>
  <c r="G142" i="4"/>
  <c r="H137" i="4"/>
  <c r="G140" i="4"/>
  <c r="G143" i="4"/>
  <c r="I31" i="3"/>
  <c r="J33" i="3"/>
  <c r="Q51" i="3"/>
  <c r="M5" i="6" s="1"/>
  <c r="M9" i="6" s="1"/>
  <c r="M51" i="3"/>
  <c r="I5" i="6" s="1"/>
  <c r="I9" i="6" s="1"/>
  <c r="I51" i="3"/>
  <c r="E5" i="6" s="1"/>
  <c r="E9" i="6" s="1"/>
  <c r="P51" i="3"/>
  <c r="L5" i="6" s="1"/>
  <c r="L9" i="6" s="1"/>
  <c r="L51" i="3"/>
  <c r="H5" i="6" s="1"/>
  <c r="H9" i="6" s="1"/>
  <c r="H51" i="3"/>
  <c r="D5" i="6" s="1"/>
  <c r="D9" i="6" s="1"/>
  <c r="R51" i="3"/>
  <c r="N5" i="6" s="1"/>
  <c r="N9" i="6" s="1"/>
  <c r="J51" i="3"/>
  <c r="F5" i="6" s="1"/>
  <c r="F9" i="6" s="1"/>
  <c r="S51" i="3"/>
  <c r="O5" i="6" s="1"/>
  <c r="O9" i="6" s="1"/>
  <c r="O51" i="3"/>
  <c r="K5" i="6" s="1"/>
  <c r="K9" i="6" s="1"/>
  <c r="K51" i="3"/>
  <c r="G5" i="6" s="1"/>
  <c r="G9" i="6" s="1"/>
  <c r="G51" i="3"/>
  <c r="C5" i="6" s="1"/>
  <c r="C9" i="6" s="1"/>
  <c r="T47" i="3"/>
  <c r="N51" i="3"/>
  <c r="J5" i="6" s="1"/>
  <c r="J9" i="6" s="1"/>
  <c r="F51" i="3"/>
  <c r="B5" i="6" s="1"/>
  <c r="B9" i="6" s="1"/>
  <c r="G111" i="1"/>
  <c r="G106" i="1"/>
  <c r="G107" i="1"/>
  <c r="G109" i="1"/>
  <c r="H104" i="1"/>
  <c r="G110" i="1"/>
  <c r="I33" i="1"/>
  <c r="H31" i="1"/>
  <c r="R51" i="1"/>
  <c r="N4" i="6" s="1"/>
  <c r="N8" i="6" s="1"/>
  <c r="N10" i="6" s="1"/>
  <c r="N51" i="1"/>
  <c r="J4" i="6" s="1"/>
  <c r="J8" i="6" s="1"/>
  <c r="J51" i="1"/>
  <c r="F4" i="6" s="1"/>
  <c r="F8" i="6" s="1"/>
  <c r="F51" i="1"/>
  <c r="B4" i="6" s="1"/>
  <c r="B8" i="6" s="1"/>
  <c r="K51" i="1"/>
  <c r="G4" i="6" s="1"/>
  <c r="G8" i="6" s="1"/>
  <c r="Q51" i="1"/>
  <c r="M4" i="6" s="1"/>
  <c r="M8" i="6" s="1"/>
  <c r="M10" i="6" s="1"/>
  <c r="M51" i="1"/>
  <c r="I4" i="6" s="1"/>
  <c r="I8" i="6" s="1"/>
  <c r="I10" i="6" s="1"/>
  <c r="I51" i="1"/>
  <c r="E4" i="6" s="1"/>
  <c r="E8" i="6" s="1"/>
  <c r="E10" i="6" s="1"/>
  <c r="P51" i="1"/>
  <c r="L4" i="6" s="1"/>
  <c r="L8" i="6" s="1"/>
  <c r="L10" i="6" s="1"/>
  <c r="L51" i="1"/>
  <c r="H4" i="6" s="1"/>
  <c r="H8" i="6" s="1"/>
  <c r="H10" i="6" s="1"/>
  <c r="H51" i="1"/>
  <c r="D4" i="6" s="1"/>
  <c r="D8" i="6" s="1"/>
  <c r="S51" i="1"/>
  <c r="O4" i="6" s="1"/>
  <c r="O8" i="6" s="1"/>
  <c r="O51" i="1"/>
  <c r="K4" i="6" s="1"/>
  <c r="K8" i="6" s="1"/>
  <c r="G51" i="1"/>
  <c r="C4" i="6" s="1"/>
  <c r="C8" i="6" s="1"/>
  <c r="T47" i="1"/>
  <c r="G10" i="6" l="1"/>
  <c r="D10" i="6"/>
  <c r="J10" i="6"/>
  <c r="K10" i="6"/>
  <c r="O10" i="6"/>
  <c r="P9" i="6"/>
  <c r="F10" i="6"/>
  <c r="C10" i="6"/>
  <c r="P8" i="6"/>
  <c r="B10" i="6"/>
  <c r="I197" i="5"/>
  <c r="J192" i="5"/>
  <c r="I198" i="5"/>
  <c r="I199" i="5"/>
  <c r="I194" i="5"/>
  <c r="I195" i="5"/>
  <c r="T84" i="4"/>
  <c r="T85" i="4" s="1"/>
  <c r="P6" i="6" s="1"/>
  <c r="H140" i="4"/>
  <c r="H143" i="4"/>
  <c r="H142" i="4"/>
  <c r="I137" i="4"/>
  <c r="H144" i="4"/>
  <c r="H139" i="4"/>
  <c r="T51" i="3"/>
  <c r="P5" i="6" s="1"/>
  <c r="J31" i="3"/>
  <c r="K33" i="3"/>
  <c r="I31" i="1"/>
  <c r="J33" i="1"/>
  <c r="T51" i="1"/>
  <c r="P4" i="6" s="1"/>
  <c r="H107" i="1"/>
  <c r="H109" i="1"/>
  <c r="I104" i="1"/>
  <c r="H110" i="1"/>
  <c r="H111" i="1"/>
  <c r="H106" i="1"/>
  <c r="P10" i="6" l="1"/>
  <c r="J198" i="5"/>
  <c r="J199" i="5"/>
  <c r="J194" i="5"/>
  <c r="J195" i="5"/>
  <c r="J197" i="5"/>
  <c r="K192" i="5"/>
  <c r="I142" i="4"/>
  <c r="J137" i="4"/>
  <c r="I139" i="4"/>
  <c r="I143" i="4"/>
  <c r="I144" i="4"/>
  <c r="I140" i="4"/>
  <c r="L33" i="3"/>
  <c r="K31" i="3"/>
  <c r="I109" i="1"/>
  <c r="J104" i="1"/>
  <c r="I110" i="1"/>
  <c r="I111" i="1"/>
  <c r="I106" i="1"/>
  <c r="I107" i="1"/>
  <c r="J31" i="1"/>
  <c r="K33" i="1"/>
  <c r="K199" i="5" l="1"/>
  <c r="K194" i="5"/>
  <c r="K195" i="5"/>
  <c r="K197" i="5"/>
  <c r="L192" i="5"/>
  <c r="K198" i="5"/>
  <c r="J143" i="4"/>
  <c r="J140" i="4"/>
  <c r="J144" i="4"/>
  <c r="J139" i="4"/>
  <c r="J142" i="4"/>
  <c r="K137" i="4"/>
  <c r="L31" i="3"/>
  <c r="M33" i="3"/>
  <c r="K31" i="1"/>
  <c r="L33" i="1"/>
  <c r="J110" i="1"/>
  <c r="J111" i="1"/>
  <c r="J106" i="1"/>
  <c r="J107" i="1"/>
  <c r="J109" i="1"/>
  <c r="K104" i="1"/>
  <c r="L195" i="5" l="1"/>
  <c r="L197" i="5"/>
  <c r="M192" i="5"/>
  <c r="L198" i="5"/>
  <c r="L199" i="5"/>
  <c r="L194" i="5"/>
  <c r="K144" i="4"/>
  <c r="K139" i="4"/>
  <c r="L137" i="4"/>
  <c r="K140" i="4"/>
  <c r="K142" i="4"/>
  <c r="K143" i="4"/>
  <c r="M31" i="3"/>
  <c r="N33" i="3"/>
  <c r="K111" i="1"/>
  <c r="K106" i="1"/>
  <c r="K107" i="1"/>
  <c r="K109" i="1"/>
  <c r="L104" i="1"/>
  <c r="K110" i="1"/>
  <c r="M33" i="1"/>
  <c r="L31" i="1"/>
  <c r="M197" i="5" l="1"/>
  <c r="N192" i="5"/>
  <c r="M198" i="5"/>
  <c r="M199" i="5"/>
  <c r="M194" i="5"/>
  <c r="M195" i="5"/>
  <c r="L140" i="4"/>
  <c r="L143" i="4"/>
  <c r="L142" i="4"/>
  <c r="M137" i="4"/>
  <c r="L144" i="4"/>
  <c r="L139" i="4"/>
  <c r="N31" i="3"/>
  <c r="O33" i="3"/>
  <c r="M31" i="1"/>
  <c r="N33" i="1"/>
  <c r="L107" i="1"/>
  <c r="L109" i="1"/>
  <c r="M104" i="1"/>
  <c r="L106" i="1"/>
  <c r="L110" i="1"/>
  <c r="L111" i="1"/>
  <c r="N198" i="5" l="1"/>
  <c r="N199" i="5"/>
  <c r="N194" i="5"/>
  <c r="N195" i="5"/>
  <c r="N197" i="5"/>
  <c r="O192" i="5"/>
  <c r="M142" i="4"/>
  <c r="N137" i="4"/>
  <c r="M143" i="4"/>
  <c r="M144" i="4"/>
  <c r="M139" i="4"/>
  <c r="M140" i="4"/>
  <c r="P33" i="3"/>
  <c r="O31" i="3"/>
  <c r="N31" i="1"/>
  <c r="O33" i="1"/>
  <c r="M109" i="1"/>
  <c r="N104" i="1"/>
  <c r="M110" i="1"/>
  <c r="M111" i="1"/>
  <c r="M106" i="1"/>
  <c r="M107" i="1"/>
  <c r="O199" i="5" l="1"/>
  <c r="O194" i="5"/>
  <c r="O195" i="5"/>
  <c r="O197" i="5"/>
  <c r="P192" i="5"/>
  <c r="O198" i="5"/>
  <c r="N143" i="4"/>
  <c r="N140" i="4"/>
  <c r="N144" i="4"/>
  <c r="N139" i="4"/>
  <c r="N142" i="4"/>
  <c r="O137" i="4"/>
  <c r="Q33" i="3"/>
  <c r="P31" i="3"/>
  <c r="N110" i="1"/>
  <c r="N111" i="1"/>
  <c r="N106" i="1"/>
  <c r="N107" i="1"/>
  <c r="N109" i="1"/>
  <c r="O104" i="1"/>
  <c r="O31" i="1"/>
  <c r="P33" i="1"/>
  <c r="P195" i="5" l="1"/>
  <c r="P197" i="5"/>
  <c r="Q192" i="5"/>
  <c r="P198" i="5"/>
  <c r="P199" i="5"/>
  <c r="P194" i="5"/>
  <c r="O144" i="4"/>
  <c r="O139" i="4"/>
  <c r="O142" i="4"/>
  <c r="P137" i="4"/>
  <c r="O140" i="4"/>
  <c r="O143" i="4"/>
  <c r="Q31" i="3"/>
  <c r="R33" i="3"/>
  <c r="O111" i="1"/>
  <c r="O106" i="1"/>
  <c r="O107" i="1"/>
  <c r="O109" i="1"/>
  <c r="P104" i="1"/>
  <c r="O110" i="1"/>
  <c r="Q33" i="1"/>
  <c r="P31" i="1"/>
  <c r="Q197" i="5" l="1"/>
  <c r="R192" i="5"/>
  <c r="Q198" i="5"/>
  <c r="Q199" i="5"/>
  <c r="Q194" i="5"/>
  <c r="Q195" i="5"/>
  <c r="P140" i="4"/>
  <c r="P143" i="4"/>
  <c r="P142" i="4"/>
  <c r="Q137" i="4"/>
  <c r="P144" i="4"/>
  <c r="P139" i="4"/>
  <c r="R31" i="3"/>
  <c r="S33" i="3"/>
  <c r="S31" i="3" s="1"/>
  <c r="Q31" i="1"/>
  <c r="R33" i="1"/>
  <c r="P107" i="1"/>
  <c r="P106" i="1"/>
  <c r="P109" i="1"/>
  <c r="Q104" i="1"/>
  <c r="P110" i="1"/>
  <c r="P111" i="1"/>
  <c r="R198" i="5" l="1"/>
  <c r="R199" i="5"/>
  <c r="R194" i="5"/>
  <c r="R195" i="5"/>
  <c r="R197" i="5"/>
  <c r="S192" i="5"/>
  <c r="Q142" i="4"/>
  <c r="R137" i="4"/>
  <c r="Q144" i="4"/>
  <c r="Q139" i="4"/>
  <c r="Q143" i="4"/>
  <c r="Q140" i="4"/>
  <c r="Q109" i="1"/>
  <c r="R104" i="1"/>
  <c r="Q110" i="1"/>
  <c r="Q111" i="1"/>
  <c r="Q106" i="1"/>
  <c r="Q107" i="1"/>
  <c r="R31" i="1"/>
  <c r="S33" i="1"/>
  <c r="S31" i="1" s="1"/>
  <c r="S199" i="5" l="1"/>
  <c r="S194" i="5"/>
  <c r="S195" i="5"/>
  <c r="S197" i="5"/>
  <c r="S198" i="5"/>
  <c r="R143" i="4"/>
  <c r="R144" i="4"/>
  <c r="R139" i="4"/>
  <c r="R140" i="4"/>
  <c r="R142" i="4"/>
  <c r="S137" i="4"/>
  <c r="R110" i="1"/>
  <c r="R111" i="1"/>
  <c r="R106" i="1"/>
  <c r="R107" i="1"/>
  <c r="R109" i="1"/>
  <c r="S104" i="1"/>
  <c r="S144" i="4" l="1"/>
  <c r="S139" i="4"/>
  <c r="S142" i="4"/>
  <c r="S140" i="4"/>
  <c r="S143" i="4"/>
  <c r="S111" i="1"/>
  <c r="S106" i="1"/>
  <c r="S107" i="1"/>
  <c r="S109" i="1"/>
  <c r="S110" i="1"/>
</calcChain>
</file>

<file path=xl/sharedStrings.xml><?xml version="1.0" encoding="utf-8"?>
<sst xmlns="http://schemas.openxmlformats.org/spreadsheetml/2006/main" count="967" uniqueCount="359">
  <si>
    <t>Оценка потребности в инвестициях для модернизации и развития коммунальной инфраструктуры в сфере водоснабжения и водоотведения</t>
  </si>
  <si>
    <t>1. Оценка потребности в инвестициях для замены/ реконструкции, строительства водопроводных сетей</t>
  </si>
  <si>
    <t>Показатель</t>
  </si>
  <si>
    <t>Ед. измерения</t>
  </si>
  <si>
    <t>Источник данных</t>
  </si>
  <si>
    <t>Комментарий к заполнению</t>
  </si>
  <si>
    <t>Всего (проверка)</t>
  </si>
  <si>
    <t>Блок исходных данных (на конец 2021 года)</t>
  </si>
  <si>
    <t>Натуральные исходные данные</t>
  </si>
  <si>
    <t xml:space="preserve">1. Общая протяженность водопроводных сооружений
</t>
  </si>
  <si>
    <t>Км</t>
  </si>
  <si>
    <t>Форма № 1-водопровод, строка 12</t>
  </si>
  <si>
    <t>Суммарное одиночное протяжение водоводов, уличной водопроводной сети, внутриквартальной и внутридворовой сети</t>
  </si>
  <si>
    <t xml:space="preserve">1.1. Протяженность водопроводных сетей, нуждающихся в замене (мощность объекта замены)
</t>
  </si>
  <si>
    <t>Форма № 1-водопровод, сумма строк 14, 16 и 18</t>
  </si>
  <si>
    <t>Суммарное одиночное протяжение водоводов, уличной водопроводной сети, внутриквартальной и внутридворовой сети, нуждающихся в замене</t>
  </si>
  <si>
    <t>2. Одиночное протяжение водоводов</t>
  </si>
  <si>
    <t>Форма № 1-водопровод, строка 13</t>
  </si>
  <si>
    <t>Выбираем значение показателя из указанной строки формы</t>
  </si>
  <si>
    <t>2.1) в том числе нуждающихся в замене</t>
  </si>
  <si>
    <t>Форма № 1-водопровод, строка 14</t>
  </si>
  <si>
    <t xml:space="preserve">Схема водоснабжения, разрабатывается на срок не менее 10 лет
</t>
  </si>
  <si>
    <t>Выбираем значение показателя из указанной схемы</t>
  </si>
  <si>
    <t>3. Одиночное протяжение уличной водопроводной сети</t>
  </si>
  <si>
    <t>Форма № 1-водопровод, строка 15</t>
  </si>
  <si>
    <t>3.1) в том числе нуждающейся в замене</t>
  </si>
  <si>
    <t>Форма № 1-водопровод, строка 16</t>
  </si>
  <si>
    <t>Схема водоснабжения</t>
  </si>
  <si>
    <t>Выбираем значение показателя из схемы</t>
  </si>
  <si>
    <t>4. Одиночное протяжение внутриквартальной и внутридворовой сети</t>
  </si>
  <si>
    <t>Форма № 1-водопровод, строка 17</t>
  </si>
  <si>
    <t>4.1) в том числе нуждающейся в замене</t>
  </si>
  <si>
    <t>Форма № 1-водопровод, строка 18</t>
  </si>
  <si>
    <t>5. Стоимость замены/строительства 1 км водоводов в зависимости от материала, диаметра труб, глубины заложения</t>
  </si>
  <si>
    <t>Тыс. руб./км</t>
  </si>
  <si>
    <t xml:space="preserve">Выбираем значение показателя из соответствующего раздела и таблицы НЦС </t>
  </si>
  <si>
    <t>6. Стоимость замены/строительства 1 км уличной водопроводной сети в зависимости от материтала, диаметра труб, глубины заложения</t>
  </si>
  <si>
    <t>7. Стоимость замены/строительства 1 км внутриквартальной и внутридворовой водопроводной сети в зависимости от материтала, диаметра труб, глубины заложения</t>
  </si>
  <si>
    <t>8. Поправочные коэффициенты, учитывающие особенности осуществления строительства (замены сетей)</t>
  </si>
  <si>
    <t>8.1) коэффициент, учитывающий прокладку трубопроводов в 2 и более рядов (нитей) в одной траншее</t>
  </si>
  <si>
    <t>Нет</t>
  </si>
  <si>
    <t>Выбираем значение коэффициента</t>
  </si>
  <si>
    <t xml:space="preserve">8.2) коэффициент, учитывающий транспортировку разработанного грунта с погрузкой в автомобиль-самосвал на расстояние 1 км, при устройстве траншей с откосами без креплений
</t>
  </si>
  <si>
    <t>Пункт 16 технической части сборника, Таблица 1</t>
  </si>
  <si>
    <t>Выбираем значение коэффициента (если "с креплением", то пишем "0")</t>
  </si>
  <si>
    <t xml:space="preserve">8.3) коэффициент на транспортировку разработанного грунта с погрузкой в автомобиль-самосвал на расстояние 1 км, при устройстве траншей с креплением
</t>
  </si>
  <si>
    <t>Пункт 16 технической части сборника, Таблица 2</t>
  </si>
  <si>
    <t>Выбираем значение коэффициента (если "без крепления", то пишем "0")</t>
  </si>
  <si>
    <t xml:space="preserve">9.1) коэффициент перехода от стоимостных показателей базового района (Московская область) к уровню цен региона Российской Федерации для сетей водоснабжения </t>
  </si>
  <si>
    <t>Пункт 27 технической части сборника, Таблица 9</t>
  </si>
  <si>
    <t>Выбираем из Таблицы 9 значение коэффициента для соответствующего субъекта Российской Федерации</t>
  </si>
  <si>
    <t xml:space="preserve">9.2) коэффициент, учитывающий изменение стоимости строительства на территории субъекта Российской Федерации, связанный с климатическими условиями
</t>
  </si>
  <si>
    <t>Пункт 28 технической части сборника, соответствующий пункт Таблицы 10</t>
  </si>
  <si>
    <t>Выбираем из Таблицы 10 значение коэффициента для соответствующего субъекта Российской Федерации</t>
  </si>
  <si>
    <t>9.3) коэффициент, учитывающий расчетную сейсмичность площадки строительства</t>
  </si>
  <si>
    <t>Пункт 30 технической части сборника</t>
  </si>
  <si>
    <t xml:space="preserve">В районах Российской Федерации с сейсмичностью 7, 8 и 9 баллов для учета удорожания стоимости строительства наружных сетей водоснабжения допускается применение к показателям НЦС коэффициента (Кс) 1,01
</t>
  </si>
  <si>
    <t>Прогнозные значения исходных данных</t>
  </si>
  <si>
    <t xml:space="preserve">10. Общая протяженность водопроводных сооружений (на начало года)
</t>
  </si>
  <si>
    <t>Инвестиционная программа организации водопроводно-канализационного хозяйства города в сфере водоснабжения или прогноз с учетом схемы водоснабжения</t>
  </si>
  <si>
    <t>Выбираем значение показателя из указанной программы или прогноз с учетом схемы водоснабжения</t>
  </si>
  <si>
    <t xml:space="preserve">10.1. Протяженность водопроводных сетей, нуждающихся в замене (мощность объекта замены)
</t>
  </si>
  <si>
    <t>"-"-"</t>
  </si>
  <si>
    <t>11. Одиночное протяжение водоводов (на начало года)</t>
  </si>
  <si>
    <t>11.1) нуждающихся в замене и планируемых к замене в текущем году</t>
  </si>
  <si>
    <t>12. Одиночное протяжение уличной водопроводной сети (на начало года)</t>
  </si>
  <si>
    <t>12.1) нуждающихся в замене и планируемых к замене в текущем году</t>
  </si>
  <si>
    <t>13. Одиночное протяжение внутриквартальной и внутридворовой водопроводной сети (на начало года)</t>
  </si>
  <si>
    <t>13.1) нуждающихся в замене и планируемых к замене в текущем году</t>
  </si>
  <si>
    <t>Блок расчетных показателей (в ценах 2021 года)</t>
  </si>
  <si>
    <t>Всего</t>
  </si>
  <si>
    <t>Тыс. руб.</t>
  </si>
  <si>
    <t>Блок исходных данных</t>
  </si>
  <si>
    <t>Расчетное значение показателя</t>
  </si>
  <si>
    <t>16. Общий ценообразующий/ усложняющий коэффициент, учитывающий особенности конструктивных решений объекта замены/ строительства</t>
  </si>
  <si>
    <t>Определяется в соответствии с пунктом 32 технической части НЦС 81-02-14-2022</t>
  </si>
  <si>
    <t>17. Коэффициент, учитывающий приведение к условиям субъекта Российской Федерации</t>
  </si>
  <si>
    <t xml:space="preserve">Определяется путем перемножения поправочных коэффициентов, учитывающих приведение к условиям субъекта Российской Федерации </t>
  </si>
  <si>
    <t>Блок исходных данных и блок расчетных показателей - коэффициентов</t>
  </si>
  <si>
    <t>Блок прогнозных (расчетных) показателей в текущих ценах</t>
  </si>
  <si>
    <t>19. Индекс потребительских цен в целом по России</t>
  </si>
  <si>
    <t>в % к предыдущему году</t>
  </si>
  <si>
    <t>Используется для прогнозирования стоимости строительства на будущие периоды</t>
  </si>
  <si>
    <t>20. Цепной темп роста потребительских цен в целом по России</t>
  </si>
  <si>
    <t>Блок расчетных показателей</t>
  </si>
  <si>
    <t>Параметры проекта КРТ</t>
  </si>
  <si>
    <t>Ввод жилья в результате КРТ</t>
  </si>
  <si>
    <t>тыс. кв. м</t>
  </si>
  <si>
    <t>Расчет ИЭГ</t>
  </si>
  <si>
    <t>Средняя площадь квартиры</t>
  </si>
  <si>
    <t>кв. м</t>
  </si>
  <si>
    <t>Экспертная оценка</t>
  </si>
  <si>
    <t>Средний размер домохозяйства</t>
  </si>
  <si>
    <t>чел.</t>
  </si>
  <si>
    <t>Количество жителей в новых домах</t>
  </si>
  <si>
    <t>Новое потребление</t>
  </si>
  <si>
    <t>тыс. куб. м в год</t>
  </si>
  <si>
    <t>водоснабжение</t>
  </si>
  <si>
    <t>водоотведение</t>
  </si>
  <si>
    <t>Выручка от водоснабжения и водоотведения в новых домах</t>
  </si>
  <si>
    <t>тыс. руб.</t>
  </si>
  <si>
    <t>2. Оценка потребности в инвестициях для замены/ реконструкции, строительства канализационных сетей</t>
  </si>
  <si>
    <t xml:space="preserve">1. Общая протяженность канализационных сооружений
</t>
  </si>
  <si>
    <t>Форма № 1-канализация, строка 12</t>
  </si>
  <si>
    <t>Суммарное одиночное протяжение главных коллекторов, уличной канализационной сети, внутриквартальной и внутридворовой сети</t>
  </si>
  <si>
    <t xml:space="preserve">1.1. Протяженность канализационных сетей, нуждающихся в замене (мощность объекта замены)
</t>
  </si>
  <si>
    <t>Форма № 1-канализация, сумма строк 14, 16 и 18</t>
  </si>
  <si>
    <t>Суммарное одиночное протяжение главных коллекторов, уличной канализационной сети, внутриквартальной и внутридворовой сети, нуждающихся в замене</t>
  </si>
  <si>
    <t>2. Одиночное протяжение главных коллекторов</t>
  </si>
  <si>
    <t>Форма № 1-канализация, строка 13</t>
  </si>
  <si>
    <t>Форма № 1-канализация, строка 14</t>
  </si>
  <si>
    <t xml:space="preserve">Схема водоотведения, разрабатывается на срок не менее 10 лет
</t>
  </si>
  <si>
    <t>3. Одиночное протяжение уличной канализационной сети</t>
  </si>
  <si>
    <t>Форма № 1-канализация, строка 15</t>
  </si>
  <si>
    <t>Форма № 1-канализация, строка 16</t>
  </si>
  <si>
    <t>Схема водоотведения</t>
  </si>
  <si>
    <t>Форма № 1-канализация, строка 18</t>
  </si>
  <si>
    <t>5. Стоимость замены/строительства 1 км главных коллекоров в зависимости от материтала, диаметра труб, глубины заложения</t>
  </si>
  <si>
    <t>6. Стоимость замены/строительства 1 км уличной канализационной сети в зависимости от материтала, диаметра труб, глубины заложения</t>
  </si>
  <si>
    <t>7. Стоимость замены/строительства 1 км внутриквартальной и внутридворовой канализационной сети в зависимости от материтала, диаметра труб, глубины заложения</t>
  </si>
  <si>
    <t xml:space="preserve">9.1) коэффициент перехода от стоимостных показателей базового района (Московская область) к уровню цен региона Российской Федерации для сетей канализации </t>
  </si>
  <si>
    <t xml:space="preserve">10. Общая протяженность канализационных сооружений (на начало года)
</t>
  </si>
  <si>
    <t xml:space="preserve">10.1. Протяженность канализационных сетей, нуждающихся в замене (мощность объекта замены)
</t>
  </si>
  <si>
    <t>11. Одиночное протяжение главных коллекторов (на начало года)</t>
  </si>
  <si>
    <t>12. Одиночное протяжение уличной канализационной сети (на начало года)</t>
  </si>
  <si>
    <t>13. Одиночное протяжение внутриквартальной и внутридворовой канализационной сети (на начало года)</t>
  </si>
  <si>
    <t>Куб. м/час</t>
  </si>
  <si>
    <t>1. Насосные станции первого подъема</t>
  </si>
  <si>
    <t>1.1. Производительность насосных станций первого подъема, нуждающихся в реконструкции</t>
  </si>
  <si>
    <t>1.2. Производительность насосных станций первого подъема, планируемых к строительству</t>
  </si>
  <si>
    <t>2. Насосные станции второго подъема</t>
  </si>
  <si>
    <t>Куб. м/сут.</t>
  </si>
  <si>
    <t>Куб. м</t>
  </si>
  <si>
    <t xml:space="preserve">Кг хлора/ч
</t>
  </si>
  <si>
    <t>3.2. Производительность станций обезжелезивания подземных вод, планируемых к строительству</t>
  </si>
  <si>
    <t>3.1. Производительность станций обезжелезивания подземных вод, нуждающихся в реконструкции</t>
  </si>
  <si>
    <t xml:space="preserve">4. Здания хлораторной
</t>
  </si>
  <si>
    <t>5. Емкость фильтров-поглотителей для резервуаров</t>
  </si>
  <si>
    <t>6. Железобетонные резервуары для воды</t>
  </si>
  <si>
    <t>6.1. Емкость железобетонных резервуаров для воды, нуждающихся в реконструкции</t>
  </si>
  <si>
    <t>6.2. Емкость железобетонных резервуаров для воды, планируемых к строительству</t>
  </si>
  <si>
    <t>3. Оценка потребности в инвестициях для замены/ реконструкции, строительства иных объектов системы водоснабжения (за исключением водопроводных сетей)</t>
  </si>
  <si>
    <t>3. Станции обезжелезивания подземных вод</t>
  </si>
  <si>
    <t>Показатель НЦС 81-02-14-2022 (сборник)</t>
  </si>
  <si>
    <t xml:space="preserve">Стоимостные показатели НЦС рассчитаны в уровне цен по состоянию на 01.01.2022 для базового региона (Московская область)
</t>
  </si>
  <si>
    <t>Показатель НЦС 81-02-14-2022</t>
  </si>
  <si>
    <t>Пункт 17 технической части НЦС 81-02-14-2022, Таблица 3</t>
  </si>
  <si>
    <t>Тыс. руб./куб. м/час</t>
  </si>
  <si>
    <t>2021 (исходные данные)</t>
  </si>
  <si>
    <t>Показатель НЦС 81-02-19-2022 (сборник)</t>
  </si>
  <si>
    <t>4. Оценка потребности в инвестициях для замены/ реконструкции, строительства иных объектов системы водоотведения (за исключением канализационных сетей)</t>
  </si>
  <si>
    <t>2021 (всего)</t>
  </si>
  <si>
    <t>Если параметр объекта отличается от указанного в таблицах, то рассчитывается путем интерполяции:</t>
  </si>
  <si>
    <t>2.1. Производительность насосных станций второго подъема, нуждающихся в реконструкции</t>
  </si>
  <si>
    <t>2.2. Производительность насосных станций второго подъема, планируемых к строительству</t>
  </si>
  <si>
    <t>9. Цена замены/строительства станций обезжелезивания подземных вод</t>
  </si>
  <si>
    <t>Тыс. руб./куб. м/сут.</t>
  </si>
  <si>
    <t>Показатель НЦС 81-02-19-2022, таблица 19-003-003</t>
  </si>
  <si>
    <t>10. Цена замены/строительства зданий хлораторной</t>
  </si>
  <si>
    <t>11. Цена замены/строительства фильтров-поглотителей для резервуаров</t>
  </si>
  <si>
    <t>Тыс. руб./куб. м</t>
  </si>
  <si>
    <t>12. Цена замены/строительства железобетонных резервуаров для воды</t>
  </si>
  <si>
    <t>Стоимостные исходные данные (НЦС)</t>
  </si>
  <si>
    <t xml:space="preserve">Кг хлора/час
</t>
  </si>
  <si>
    <t>13.1. Коэффициент перехода от цен базового района (Московская область) к уровню цен субъектов Российской Федераuии</t>
  </si>
  <si>
    <t xml:space="preserve">13.3. Коэффициент, учитывающий изменение стоимости строительства на территории субъекта Российской Федерации, связанный с климатическими условиями
</t>
  </si>
  <si>
    <t>Выбираем из Таблицы 1 значение коэффициента для соответствующего субъекта Российской Федерации</t>
  </si>
  <si>
    <t>Таблица 1 технической части сборника</t>
  </si>
  <si>
    <t>13.2. Коэффициент перехода от цен первой зоны субъекта Российской Федерации к уровню цен частей территории субъектов Российской Федерации</t>
  </si>
  <si>
    <t>Выбираем из Таблицы 2 значение коэффициента для соответствующего субъекта Российской Федерации</t>
  </si>
  <si>
    <t>Таблица 2 технической части сборника</t>
  </si>
  <si>
    <t>Выбираем из Таблицы 3 значение коэффициента для соответствующего субъекта Российской Федерации</t>
  </si>
  <si>
    <t>Таблица 3 технической части сборника</t>
  </si>
  <si>
    <t>Пункт 28 технической части сборника</t>
  </si>
  <si>
    <t>14.1. Стоимость замены насосных станций первого подъема</t>
  </si>
  <si>
    <t>7. Цена замены/строительства водопроводных насосных станций первого подъема</t>
  </si>
  <si>
    <t>8. Цена замены/строительства водопроводных насосных станций второго подъема</t>
  </si>
  <si>
    <t>Выбираем значение показателя из указанной таблицы раздела 3 "Водоснабжение"</t>
  </si>
  <si>
    <t>нижний пограничный показатель цены (Пс)</t>
  </si>
  <si>
    <t>нижняя пограничная производительность (а)</t>
  </si>
  <si>
    <t>верхняя пограничная производительность (с)</t>
  </si>
  <si>
    <t>верхний пограничный показатель цены (Па)</t>
  </si>
  <si>
    <t>2.2) планируемых к новому строительству, всего</t>
  </si>
  <si>
    <t>3.2) планируемой к новому строительству, всего</t>
  </si>
  <si>
    <t>4.2) планируемой к новому строительству, всего</t>
  </si>
  <si>
    <t>11.2) планируемых к новому строительству в текущем году</t>
  </si>
  <si>
    <t>12.2) планируемой к новому строительству в текущем году</t>
  </si>
  <si>
    <t>13.2) планируемой к новому строительству в текущем году</t>
  </si>
  <si>
    <t>14.2. Стоимость нового строительства насосных станций первого подъема</t>
  </si>
  <si>
    <t>14. Стоимость замены/строительства водопроводных насосных станций первого подъема с учетом поправочных коэффициентов</t>
  </si>
  <si>
    <t>15. Стоимость замены/строительства водопроводных насосных станций второго подъема с учетом поправочных коэффициентов</t>
  </si>
  <si>
    <t>16. Стоимость замены/строительства станций обезжелезивания подземных вод с учетом поправочных коэффициентов</t>
  </si>
  <si>
    <t>Сайт Минэкономразвития России в сети "Интернет" по ссылке: https://www.economy.gov.ru/material/file/40e67c156956c05a60ffa5296229dc9d/33918pk_d03i.pdf</t>
  </si>
  <si>
    <t>21. Стоимость замены и строительства канализационных сетей с учетом инфляции (без НДС)</t>
  </si>
  <si>
    <t>21. Стоимость замены и нового строительства водопроводных сетей с учетом инфляции (без НДС)</t>
  </si>
  <si>
    <t>1. Канализационные насосные станции</t>
  </si>
  <si>
    <t>1.1. Производительность канализационных насосных станций, нуждающихся в реконструкции</t>
  </si>
  <si>
    <t>1.2. Производительность канализационных насосных станций, планируемых к строительству</t>
  </si>
  <si>
    <t>Тыс. руб./1 кг хлора/час для здания хлораторной с расходом хлора 2 кг/час</t>
  </si>
  <si>
    <t xml:space="preserve">9. Поправочные коэффициенты, учитывающие приведение к условиям субъекта Российской Федерации (для примера приведены значения для Свердловской области)
</t>
  </si>
  <si>
    <t>2. Сливные станции для утилизации ЖБО</t>
  </si>
  <si>
    <t>3. Воздуходувные станции</t>
  </si>
  <si>
    <t>3.1. Производительность воздуходувных станций, нуждающихся в реконструкции</t>
  </si>
  <si>
    <t>3.2. Производительность воздуходувных станций, планируемых к строительству</t>
  </si>
  <si>
    <t xml:space="preserve">4. Насосные станции технологические (дренажные, опорожнения возвратных потоков, технической воды)
</t>
  </si>
  <si>
    <t>4.2. Здания хлораторной, планируемые к строительству, с расходом хлора</t>
  </si>
  <si>
    <t>4.1. Здания хлораторной, нуждающиеся в реконструкции, с расходом хлора</t>
  </si>
  <si>
    <t>4.1. Производительность насосных станций технологических, нуждающихся в реконструкции</t>
  </si>
  <si>
    <t>4.2. Производительность насосных станций технологических, планируемых к строительству</t>
  </si>
  <si>
    <t>2.1. Сливные станции, нуждающиеся в реконструкции</t>
  </si>
  <si>
    <t xml:space="preserve">6. Очистные сооружения биологической очистки городских сточных вод
</t>
  </si>
  <si>
    <t>6.1 Здания решеток</t>
  </si>
  <si>
    <t>6.1.1. Производительность зданий решеток, нуждающихся в реконструкции</t>
  </si>
  <si>
    <t>6.1.2. Производительность зданий решеток, планируемых к строительству</t>
  </si>
  <si>
    <t>6.1.1. Производительность песколовок горизональных, нуждающихся в реконструкции</t>
  </si>
  <si>
    <t>6.1.2. Производительность песколовок горизональных, планируемых к строительству</t>
  </si>
  <si>
    <t>Выбираем значение показателя из указанной таблицы раздела 4 "Канализация"</t>
  </si>
  <si>
    <t>водопроводная насосная станция № 1</t>
  </si>
  <si>
    <t>водопроводная насосная станция № 2</t>
  </si>
  <si>
    <t>Тонн/сут.</t>
  </si>
  <si>
    <t>Кв. м</t>
  </si>
  <si>
    <t>6.3. Отстойники горизонтальные</t>
  </si>
  <si>
    <t>6.3.1. Производительность отстойников горизональных, нуждающихся в реконструкции</t>
  </si>
  <si>
    <t>6.3.2. Производительность отстойников горизональных, планируемых к строительству</t>
  </si>
  <si>
    <t>6.4. Установка УФ-обеззараживания сточных вод</t>
  </si>
  <si>
    <t>6.4.1. Производительность установок УФ-обеззараживания сточных вод, нуждающихся в реконструкции</t>
  </si>
  <si>
    <t>6.4.2. Производительность установок УФ-обеззараживания сточных вод, планируемых к строительству</t>
  </si>
  <si>
    <t>6.5. Цех механического обезвоживания осадка</t>
  </si>
  <si>
    <t>6.5.1. Производительность цеха механического обезвоживания осадка, нуждающегося в реконструкции</t>
  </si>
  <si>
    <t>6.5.2. Производительность цеха механического обезвоживания осадка, планируемого к строительству</t>
  </si>
  <si>
    <t>6.6.1. Площадь площадки складирования обезвоженного осадка, нуждающейся в реконструкции</t>
  </si>
  <si>
    <t>6.6.2. Площадь площадки складирования обезвоженного осадка, планируемой к строительству</t>
  </si>
  <si>
    <t>6.7. Аэротенки-смесители</t>
  </si>
  <si>
    <t>7. Цена замены/строительства канализационных насосных станций</t>
  </si>
  <si>
    <t>Показатель НЦС 81-02-19-2022, таблица 19-04-001</t>
  </si>
  <si>
    <t>Показатель НЦС 81-02-19-2022, таблица 19-03-001</t>
  </si>
  <si>
    <t>Показатель НЦС 81-02-19-2022, таблица 19-03-002</t>
  </si>
  <si>
    <t>Показатель НЦС 81-02-19-2022, таблица 19-03-004</t>
  </si>
  <si>
    <t>Показатель НЦС 81-02-19-2022, таблица 19-03-005</t>
  </si>
  <si>
    <t>Показатель НЦС 81-02-19-2022, таблица 19-03-006</t>
  </si>
  <si>
    <t>Тыс. руб./куб. м/сут. для КНС производительностью 10000 куб. м/сут.</t>
  </si>
  <si>
    <t>8. Цена замены/строительства сливных станций для утилизации ЖБО</t>
  </si>
  <si>
    <t>9. Цена замены/строительства воздуходувных станций</t>
  </si>
  <si>
    <t>Показатель НЦС 81-02-19-2022, таблица 19-04-002</t>
  </si>
  <si>
    <t>Показатель НЦС 81-02-19-2022, таблица 19-04-003</t>
  </si>
  <si>
    <t>Тыс. руб./сливная станция на два приемных места</t>
  </si>
  <si>
    <t>Количество объектов</t>
  </si>
  <si>
    <t>Тыс. руб./куб. м/сут. для воздуходувной станции производительностью 73500 куб. м/сут.</t>
  </si>
  <si>
    <t>5. Аварийно­реryлирующие резервуары</t>
  </si>
  <si>
    <t>Показатель НЦС 81-02-19-2022, таблица 19-04-005</t>
  </si>
  <si>
    <t>Показатель НЦС 81-02-19-2022, таблица 19-04-004</t>
  </si>
  <si>
    <t>Показатель НЦС 81-02-19-2022, таблица 19-04-006</t>
  </si>
  <si>
    <t>10. Цена замены/строительства насосных станций технологических (дренажные, опорожнения возвратных потоков, технической воды)</t>
  </si>
  <si>
    <t>12. Цена замены/строительства очистных сооружений биологической очистки городских сточных вод</t>
  </si>
  <si>
    <t>12.1. Цена замены/строительства зданий решеток</t>
  </si>
  <si>
    <t>15.1. Стоимость замены насосных станций второго подъема</t>
  </si>
  <si>
    <t>15.2. Стоимость нового строительства насосных станций второго подъема</t>
  </si>
  <si>
    <t>16.1. Стоимость замены станций обезжелезивания подземных вод</t>
  </si>
  <si>
    <t>16.2. Стоимость нового строительства станций обезжелезивания подземных вод</t>
  </si>
  <si>
    <t>17. Стоимость замены/строительства зданий хлораторной с учетом поправочных коэффициентов</t>
  </si>
  <si>
    <t>17.1. Стоимость замены зданий хлораторной</t>
  </si>
  <si>
    <t>17.2. Стоимость нового строительства зданий хлораторной</t>
  </si>
  <si>
    <t>19. Стоимость замены/строительства железобетонных резервуаров для воды с учетом поправочных коэффициентов</t>
  </si>
  <si>
    <t>19.1. Стоимость замены железобетонных резервуаров для воды</t>
  </si>
  <si>
    <t>19.2. Стоимость нового строительства железобетонных резервуаров для воды</t>
  </si>
  <si>
    <t>22. Цепной темп роста потребительских цен в целом по России</t>
  </si>
  <si>
    <t>23. Стоимость замены и строительства иных объектов системы водоснабжения (за исключением водопроводных сетей) с учетом инфляции (без НДС)</t>
  </si>
  <si>
    <t>12.3. Цена замены/строительства отстойников горизонтальных</t>
  </si>
  <si>
    <t>Тыс. руб./куб. м/сут. для отстойников горизонтальных производительностью 73500 куб. м/сут.</t>
  </si>
  <si>
    <t>Тыс. руб./тонн/сут.</t>
  </si>
  <si>
    <t>12.4. Цена замены/строительства установки УФ-обеззараживания сточных вод</t>
  </si>
  <si>
    <t>12.5. Цена замены/строительства цеха механического обезвоживания осадка</t>
  </si>
  <si>
    <t>12.7. Цена замены/строительства аэротенков-смесителей</t>
  </si>
  <si>
    <t>Тыс. руб./кв. м для площадки складирования обезвоженного осадка (с покрытием из монолитных железобетоных плит)</t>
  </si>
  <si>
    <t>12.6. Цена замены/строительства площадки складирования обезвоженного осадка</t>
  </si>
  <si>
    <t>14.1. Стоимость замены канализационных насосных станций</t>
  </si>
  <si>
    <t>14.2. Стоимость нового строительства канализационных насосных станций</t>
  </si>
  <si>
    <t>15. Стоимость замены/строительства сливных станций для утилизации ЖБО с учетом поправочных коэффициентов</t>
  </si>
  <si>
    <t>14. Стоимость замены/строительства канализационных насосных станций с учетом поправочных коэффициентов</t>
  </si>
  <si>
    <t>16. Стоимость замены/строительства воздуходувных станций с учетом поправочных коэффициентов</t>
  </si>
  <si>
    <t>15.1. Стоимость замены сливных станций для утилизации ЖБО</t>
  </si>
  <si>
    <t>15.2. Стоимость нового строительства сливных станций для утилизации ЖБО</t>
  </si>
  <si>
    <t>16.1. Стоимость замены воздуходувных станций</t>
  </si>
  <si>
    <t>16.2. Стоимость нового строительства воздуходувных станций</t>
  </si>
  <si>
    <t>17. Стоимость замены/строительства насосных станций технологических с учетом поправочных коэффициентов</t>
  </si>
  <si>
    <t>17.1. Стоимость замены насосных станций технологических</t>
  </si>
  <si>
    <t xml:space="preserve">17.2. Стоимость нового строительства насосных станций технологических </t>
  </si>
  <si>
    <t>18.1. Стоимость замены аварийно­реryлирующих резервуаров</t>
  </si>
  <si>
    <t>18.2. Стоимость нового строительства аварийно­реryлирующих резервуаров</t>
  </si>
  <si>
    <t>5.2. Емкость аварийно­реryлирующих резервуаров, планируемых к строительству</t>
  </si>
  <si>
    <t>5.1. Емкость аварийно­реryлирующих резервуаров, нуждающихся в реконструкции</t>
  </si>
  <si>
    <t>18. Стоимость замены/строительства аварийно­реryлирующих резервуаров с учетом поправочных коэффициентов</t>
  </si>
  <si>
    <t>19. Стоимость замены/строительства очистных сооружений биологической очистки городских сточных вод с учетом поправочных коэффициентов</t>
  </si>
  <si>
    <t>20. Стоимость замены и строительства иных объектов системы водоотведения (за исключением канализационных сетей) в ценах 2021 года (без НДС)</t>
  </si>
  <si>
    <t>19.1. Стоимость замены/строительства зданий решеток с учетом поправочных коэффициентов</t>
  </si>
  <si>
    <t>19.1.1. Стоимость замены зданий решеток</t>
  </si>
  <si>
    <t>19.1.2. Стоимость нового строительства зданий решеток</t>
  </si>
  <si>
    <t>19.3.1. Стоимость замены отстойников горизональных</t>
  </si>
  <si>
    <t>19.3.2. Стоимость нового строительства отстойников горизональных</t>
  </si>
  <si>
    <t>19.4. Стоимость замены/строительства установок УФ-обеззараживания сточных вод с учетом поправочных коэффициентов</t>
  </si>
  <si>
    <t>19.4.1. Стоимость замены установок УФ-обеззараживания сточных вод</t>
  </si>
  <si>
    <t>19.4.2. Стоимость нового строительства установок УФ-обеззараживания сточных вод</t>
  </si>
  <si>
    <t>19.5. Стоимость замены/строительства цеха механического обезвоживания осадка с учетом поправочных коэффициентов</t>
  </si>
  <si>
    <t>19.5.1. Стоимость замены цеха механического обезвоживания осадка</t>
  </si>
  <si>
    <t>19.5.2. Стоимость нового строительства цеха механического обезвоживания осадка</t>
  </si>
  <si>
    <t>19.6. Стоимость замены/строительства площадки складирования обезвоженного осадка (с покрытием из монолитных железобетоных плит) с учетом поправочных коэффициентов</t>
  </si>
  <si>
    <t>6.7.1. Производительность аэротенков-смесителей, нуждающихся в реконструкции</t>
  </si>
  <si>
    <t>6.7.2. Производительность аэротенков-смесителей, нуждающихся в строительстве</t>
  </si>
  <si>
    <t>6.6. Площадка складирования обезвоженного осадка (с покрытием из монолитных железобетонных плит)</t>
  </si>
  <si>
    <t>19.6.2. Стоимость нового строительства площадки складирования обезвоженного осадка (с покрытием из монолитных железобетонных плит)</t>
  </si>
  <si>
    <t>19.6.1. Стоимость замены площадки складирования обезвоженного осадка (с покрытием из монолитных железобетонных плит)</t>
  </si>
  <si>
    <t>19.7. Стоимость замены/строительства аэротенков-смесителей с учетом поправочных коэффициентов</t>
  </si>
  <si>
    <t>19.7.1. Стоимость замены аэротенков-смесителей</t>
  </si>
  <si>
    <t>19.7.2. Стоимость нового строительства аэротенков-смесителей</t>
  </si>
  <si>
    <t>Проверка</t>
  </si>
  <si>
    <t>24. Стоимость замены и строительства иных объектов системы водоснабжения (за исключением водопроводных сетей) с учетом инфляции, распределенная по годам реализации мероприятий (без НДС)</t>
  </si>
  <si>
    <t>23. Стоимость замены и строительства иных объектов системы водоотведения (за исключением канализационных сетей) с учетом инфляции (без НДС)</t>
  </si>
  <si>
    <t>24. Стоимость замены и строительства иных объектов системы водоотведения (за исключением канализационных сетей) с учетом инфляции, распределенная по годам реализации мероприятий (без НДС)</t>
  </si>
  <si>
    <t>Стоимость замены и нового строительства водопроводных сетей</t>
  </si>
  <si>
    <t>Стоимость замены и строительства канализационных сетей</t>
  </si>
  <si>
    <t>Стоимость замены и строительства иных объектов системы водоотведения (за исключением канализационных сетей)</t>
  </si>
  <si>
    <t xml:space="preserve">14. Стоимость замены водопроводных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</si>
  <si>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 xml:space="preserve">15. Стоимость нового строительства водопроводных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</si>
  <si>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>18. Стоимость замены и нового строительства водопроводных сетей с учетом поправочных коэффициентов, учитывающих особенности осуществления строительства и региона Российской Федерации (без НДС)</t>
  </si>
  <si>
    <t xml:space="preserve">14. Стоимость замены канализационных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</si>
  <si>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 xml:space="preserve">15. Стоимость нового строительства канализационных сетей без учета поправочных коэффициентов, учитывающих особенности осуществления строительства и региона Российской Федерации, всего
</t>
  </si>
  <si>
    <t>18. Стоимость замены и строительства канализационных сетей с учетом поправочных коэффициентов, учитывающих особенности осуществления строительства и региона Российской Федерации (без НДС)</t>
  </si>
  <si>
    <t>13.1. Коэффициент перехода от цен базового района (Московская область) к уровню цен субъектов Российской Федерации</t>
  </si>
  <si>
    <t>13.4. Коэффициент, характеризующий удорожание стоимости строительства в сейсмических районах Российской Федерации</t>
  </si>
  <si>
    <t>18. Стоимость замены/строительства фильтров-поглотителей для резервуаров с учетом поправочных коэффициентов</t>
  </si>
  <si>
    <t>20. Стоимость замены и строительства иных объектов системы водоснабжения (за исключением водопроводных сетей) в ценах 2021 года (без НДС)</t>
  </si>
  <si>
    <t xml:space="preserve">13. Поправочные коэффициенты, учитывающие приведение к условиям субъекта Российской Федерации (для примера приведены значения для Свердловской области)
</t>
  </si>
  <si>
    <t>21. Индекс потребительских цен в среднем за год</t>
  </si>
  <si>
    <t>6.2. Песколовки горизонтальные</t>
  </si>
  <si>
    <t>12.2. Цена замены/строительства песколовок горизонтальных</t>
  </si>
  <si>
    <t>19.2. Стоимость замены/строительства песколовок горизонтальных с учетом поправочных коэффициентов</t>
  </si>
  <si>
    <t>19.2.1. Стоимость замены песколовок горизонтальных</t>
  </si>
  <si>
    <t>19.2.2. Стоимость нового строительства песколовок горизонтальных</t>
  </si>
  <si>
    <t>Мощность объекта капитального строительства, планируемого к строительству (реконструкции) (год начала реализации мероприятия) (параметр "в")</t>
  </si>
  <si>
    <t>11. Цена замены/строительства аварийно-регyлирующих резервуаров</t>
  </si>
  <si>
    <t>19.3. Стоимость замены/строительства отстойников горизонтальных с учетом поправочных коэффициентов</t>
  </si>
  <si>
    <t>Стоимость замены и строительства иных объектов системы водоснабжения (за исключением водопроводных сетей)</t>
  </si>
  <si>
    <t>Итого</t>
  </si>
  <si>
    <t>Всего в сфере водоснабжения</t>
  </si>
  <si>
    <t>Всего в сфере водоотведения</t>
  </si>
  <si>
    <t xml:space="preserve">8.4) Усложняющий коэффициент, учитывающий особенности строительства в стесненных условиях застроенной части города
</t>
  </si>
  <si>
    <t>5. Сводная оценка потребности в инвестициях для замены/ реконструкции, строительства объектов централизованных систем водоснабжения и водоотведения муниципального образования, с учетом инфляции (с НДС), тыс. руб.</t>
  </si>
  <si>
    <t>Расчетная выручка от водоснабжения и водоотведения, всего, в т.ч.:</t>
  </si>
  <si>
    <t xml:space="preserve">Количество объектов (станция сливная на 2 приемных места)
</t>
  </si>
  <si>
    <t>2.2. Сливные станции, планируемые к строительству</t>
  </si>
  <si>
    <t>в ед. к базовому 2021 году</t>
  </si>
  <si>
    <t>Инвестиционная программа организации водопроводно-канализационного хозяйства города в сфере водоснабжения или прогноз с учетом схемы водоотведения</t>
  </si>
  <si>
    <t>Выбираем значение показателя из указанной программы или прогноз с учетом схемы водоотоведения</t>
  </si>
  <si>
    <t xml:space="preserve">Раздел 6,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710 мм глубиной 3 м
</t>
  </si>
  <si>
    <t xml:space="preserve">Раздел 6,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315 мм глубиной 2 м
</t>
  </si>
  <si>
    <t xml:space="preserve">Раздел 6 , Таблица 14-06-001 Наружные инженерные сети водоснабжения из полиэтиленовых труб, разработка сухого грунта в отвал, без креплений (группа грунтов 1 - 3), диаметром 125 мм глубиной 1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</si>
  <si>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800 мм глубиной 3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</si>
  <si>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315 мм глубиной 2 м
</t>
  </si>
  <si>
    <t xml:space="preserve">Раздел 7, Таблица 14-07-001 Наружные инженерные сети канализации из полиэтиленовых труб, разработка сухого грунта в отвал, без креплений (группа грунтов 1 - 3), диаметром 200 мм глубиной 2 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</si>
</sst>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4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/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164" fontId="5" fillId="0" borderId="1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0" fontId="1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5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0" fontId="1" fillId="9" borderId="1" xfId="0" applyFont="1" applyFill="1" applyBorder="1" applyAlignment="1">
      <alignment horizontal="left" vertical="center"/>
    </xf>
    <xf numFmtId="0" fontId="0" fillId="9" borderId="1" xfId="0" applyFill="1" applyBorder="1"/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10" borderId="1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164" fontId="2" fillId="11" borderId="1" xfId="0" applyNumberFormat="1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5" fillId="10" borderId="1" xfId="0" applyFont="1" applyFill="1" applyBorder="1" applyAlignment="1">
      <alignment horizontal="left" vertical="top" wrapText="1"/>
    </xf>
    <xf numFmtId="164" fontId="5" fillId="10" borderId="1" xfId="0" applyNumberFormat="1" applyFont="1" applyFill="1" applyBorder="1" applyAlignment="1">
      <alignment horizontal="center" vertical="top" wrapText="1"/>
    </xf>
    <xf numFmtId="164" fontId="2" fillId="10" borderId="1" xfId="0" applyNumberFormat="1" applyFont="1" applyFill="1" applyBorder="1" applyAlignment="1">
      <alignment horizontal="center" vertical="top"/>
    </xf>
    <xf numFmtId="4" fontId="2" fillId="10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vertical="top" wrapText="1"/>
    </xf>
    <xf numFmtId="164" fontId="2" fillId="10" borderId="1" xfId="0" applyNumberFormat="1" applyFont="1" applyFill="1" applyBorder="1" applyAlignment="1">
      <alignment horizontal="center" vertical="top" wrapText="1"/>
    </xf>
    <xf numFmtId="3" fontId="2" fillId="1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/>
    </xf>
    <xf numFmtId="4" fontId="2" fillId="11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/>
    </xf>
    <xf numFmtId="164" fontId="5" fillId="7" borderId="1" xfId="0" applyNumberFormat="1" applyFont="1" applyFill="1" applyBorder="1" applyAlignment="1">
      <alignment horizontal="center" vertical="top" wrapText="1"/>
    </xf>
    <xf numFmtId="0" fontId="2" fillId="7" borderId="0" xfId="0" applyFont="1" applyFill="1"/>
    <xf numFmtId="164" fontId="5" fillId="13" borderId="1" xfId="0" applyNumberFormat="1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vertical="top" wrapText="1"/>
    </xf>
    <xf numFmtId="164" fontId="2" fillId="13" borderId="1" xfId="0" applyNumberFormat="1" applyFont="1" applyFill="1" applyBorder="1" applyAlignment="1">
      <alignment horizontal="center" vertical="top"/>
    </xf>
    <xf numFmtId="4" fontId="2" fillId="13" borderId="1" xfId="0" applyNumberFormat="1" applyFont="1" applyFill="1" applyBorder="1" applyAlignment="1">
      <alignment horizontal="center" vertical="top"/>
    </xf>
    <xf numFmtId="0" fontId="5" fillId="14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vertical="top" wrapText="1"/>
    </xf>
    <xf numFmtId="164" fontId="5" fillId="14" borderId="1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/>
    <xf numFmtId="0" fontId="2" fillId="0" borderId="0" xfId="0" applyFont="1" applyBorder="1"/>
    <xf numFmtId="0" fontId="2" fillId="12" borderId="1" xfId="0" applyFont="1" applyFill="1" applyBorder="1"/>
    <xf numFmtId="164" fontId="2" fillId="12" borderId="1" xfId="0" applyNumberFormat="1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2" fillId="15" borderId="1" xfId="0" applyFont="1" applyFill="1" applyBorder="1" applyAlignment="1">
      <alignment vertical="top" wrapText="1"/>
    </xf>
    <xf numFmtId="164" fontId="7" fillId="15" borderId="1" xfId="0" applyNumberFormat="1" applyFont="1" applyFill="1" applyBorder="1" applyAlignment="1">
      <alignment horizontal="center" vertical="center"/>
    </xf>
    <xf numFmtId="164" fontId="7" fillId="13" borderId="1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top"/>
    </xf>
    <xf numFmtId="164" fontId="6" fillId="15" borderId="1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Alignment="1">
      <alignment horizontal="center" vertical="center"/>
    </xf>
    <xf numFmtId="0" fontId="2" fillId="6" borderId="2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76;&#1077;&#1083;&#1100;_&#1087;&#1086;&#1090;&#1088;&#1077;&#1073;&#1085;&#1086;&#1089;&#1090;&#1100;%20&#1080;&#1085;&#1074;&#1077;&#1089;&#1090;&#1080;&#1094;&#1080;&#1081;%20&#1074;%20&#1088;&#1072;&#1079;&#1074;&#1080;&#1090;&#1080;&#1077;%20&#1089;&#1080;&#1089;&#1090;&#1077;&#1084;%20%20&#1042;&#1080;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Модель_предел50"/>
      <sheetName val="Лист1"/>
      <sheetName val="Водопроводные сети"/>
      <sheetName val="Канализационные сети"/>
      <sheetName val="Сооружения водоснабжения"/>
      <sheetName val="Сооружения водоотведения"/>
      <sheetName val="Свод и выручка Водоканала"/>
      <sheetName val="Иные объекты водоснабжения"/>
      <sheetName val="Суб_предел100"/>
      <sheetName val="Суб_4 млр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80" zoomScaleNormal="80" workbookViewId="0">
      <pane ySplit="3" topLeftCell="A46" activePane="bottomLeft" state="frozen"/>
      <selection pane="bottomLeft" activeCell="C54" sqref="C54"/>
    </sheetView>
  </sheetViews>
  <sheetFormatPr defaultColWidth="7.109375" defaultRowHeight="15.75" x14ac:dyDescent="0.25"/>
  <cols>
    <col min="1" max="1" width="29.77734375" style="4" customWidth="1"/>
    <col min="2" max="2" width="12.88671875" style="4" customWidth="1"/>
    <col min="3" max="3" width="22.21875" style="4" customWidth="1"/>
    <col min="4" max="4" width="24" style="4" bestFit="1" customWidth="1"/>
    <col min="5" max="5" width="16.21875" style="4" customWidth="1"/>
    <col min="6" max="6" width="10.21875" style="4" bestFit="1" customWidth="1"/>
    <col min="7" max="7" width="10.109375" style="4" bestFit="1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8.2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148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6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78.75" x14ac:dyDescent="0.25">
      <c r="A6" s="13" t="s">
        <v>9</v>
      </c>
      <c r="B6" s="13" t="s">
        <v>10</v>
      </c>
      <c r="C6" s="13" t="s">
        <v>11</v>
      </c>
      <c r="D6" s="13" t="s">
        <v>12</v>
      </c>
      <c r="E6" s="14">
        <v>1894.2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</row>
    <row r="7" spans="1:20" ht="94.5" x14ac:dyDescent="0.25">
      <c r="A7" s="13" t="s">
        <v>13</v>
      </c>
      <c r="B7" s="13" t="s">
        <v>10</v>
      </c>
      <c r="C7" s="13" t="s">
        <v>14</v>
      </c>
      <c r="D7" s="13" t="s">
        <v>15</v>
      </c>
      <c r="E7" s="14">
        <v>735.86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"/>
      <c r="T7" s="15"/>
    </row>
    <row r="8" spans="1:20" ht="47.25" x14ac:dyDescent="0.25">
      <c r="A8" s="13" t="s">
        <v>16</v>
      </c>
      <c r="B8" s="13" t="s">
        <v>10</v>
      </c>
      <c r="C8" s="13" t="s">
        <v>17</v>
      </c>
      <c r="D8" s="13" t="s">
        <v>18</v>
      </c>
      <c r="E8" s="14">
        <v>411.9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3"/>
      <c r="T8" s="15"/>
    </row>
    <row r="9" spans="1:20" ht="47.25" x14ac:dyDescent="0.25">
      <c r="A9" s="13" t="s">
        <v>19</v>
      </c>
      <c r="B9" s="13" t="s">
        <v>10</v>
      </c>
      <c r="C9" s="13" t="s">
        <v>20</v>
      </c>
      <c r="D9" s="13" t="s">
        <v>18</v>
      </c>
      <c r="E9" s="16">
        <v>154.19999999999999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3"/>
      <c r="T9" s="15"/>
    </row>
    <row r="10" spans="1:20" ht="49.5" customHeight="1" x14ac:dyDescent="0.25">
      <c r="A10" s="13" t="s">
        <v>182</v>
      </c>
      <c r="B10" s="13" t="s">
        <v>10</v>
      </c>
      <c r="C10" s="13" t="s">
        <v>21</v>
      </c>
      <c r="D10" s="13" t="s">
        <v>22</v>
      </c>
      <c r="E10" s="16">
        <v>25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3"/>
      <c r="T10" s="15"/>
    </row>
    <row r="11" spans="1:20" ht="47.25" x14ac:dyDescent="0.25">
      <c r="A11" s="13" t="s">
        <v>23</v>
      </c>
      <c r="B11" s="13" t="s">
        <v>10</v>
      </c>
      <c r="C11" s="13" t="s">
        <v>24</v>
      </c>
      <c r="D11" s="13" t="s">
        <v>18</v>
      </c>
      <c r="E11" s="14">
        <v>760.8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3"/>
      <c r="T11" s="15"/>
    </row>
    <row r="12" spans="1:20" ht="47.25" x14ac:dyDescent="0.25">
      <c r="A12" s="13" t="s">
        <v>25</v>
      </c>
      <c r="B12" s="13" t="s">
        <v>10</v>
      </c>
      <c r="C12" s="13" t="s">
        <v>26</v>
      </c>
      <c r="D12" s="13" t="s">
        <v>18</v>
      </c>
      <c r="E12" s="16">
        <v>364.2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3"/>
      <c r="T12" s="15"/>
    </row>
    <row r="13" spans="1:20" ht="31.5" x14ac:dyDescent="0.25">
      <c r="A13" s="13" t="s">
        <v>183</v>
      </c>
      <c r="B13" s="13" t="s">
        <v>10</v>
      </c>
      <c r="C13" s="13" t="s">
        <v>27</v>
      </c>
      <c r="D13" s="13" t="s">
        <v>28</v>
      </c>
      <c r="E13" s="16">
        <v>49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3"/>
      <c r="T13" s="15"/>
    </row>
    <row r="14" spans="1:20" ht="47.25" x14ac:dyDescent="0.25">
      <c r="A14" s="13" t="s">
        <v>29</v>
      </c>
      <c r="B14" s="13" t="s">
        <v>10</v>
      </c>
      <c r="C14" s="13" t="s">
        <v>30</v>
      </c>
      <c r="D14" s="13" t="s">
        <v>18</v>
      </c>
      <c r="E14" s="14">
        <v>721.5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3"/>
      <c r="T14" s="15"/>
    </row>
    <row r="15" spans="1:20" ht="53.25" customHeight="1" x14ac:dyDescent="0.25">
      <c r="A15" s="13" t="s">
        <v>31</v>
      </c>
      <c r="B15" s="13" t="s">
        <v>10</v>
      </c>
      <c r="C15" s="13" t="s">
        <v>32</v>
      </c>
      <c r="D15" s="13" t="s">
        <v>18</v>
      </c>
      <c r="E15" s="16">
        <v>217.46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3"/>
      <c r="T15" s="15"/>
    </row>
    <row r="16" spans="1:20" ht="31.5" x14ac:dyDescent="0.25">
      <c r="A16" s="13" t="s">
        <v>184</v>
      </c>
      <c r="B16" s="13" t="s">
        <v>10</v>
      </c>
      <c r="C16" s="13" t="s">
        <v>27</v>
      </c>
      <c r="D16" s="13" t="s">
        <v>28</v>
      </c>
      <c r="E16" s="16">
        <v>45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3"/>
      <c r="T16" s="15"/>
    </row>
    <row r="17" spans="1:20" ht="100.5" customHeight="1" x14ac:dyDescent="0.25">
      <c r="A17" s="17" t="s">
        <v>162</v>
      </c>
      <c r="B17" s="18"/>
      <c r="C17" s="18" t="s">
        <v>143</v>
      </c>
      <c r="D17" s="18" t="s">
        <v>144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59" customHeight="1" x14ac:dyDescent="0.25">
      <c r="A18" s="13" t="s">
        <v>33</v>
      </c>
      <c r="B18" s="13" t="s">
        <v>34</v>
      </c>
      <c r="C18" s="13" t="s">
        <v>353</v>
      </c>
      <c r="D18" s="13" t="s">
        <v>35</v>
      </c>
      <c r="E18" s="21">
        <v>33037.089999999997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0"/>
    </row>
    <row r="19" spans="1:20" ht="148.5" customHeight="1" x14ac:dyDescent="0.25">
      <c r="A19" s="13" t="s">
        <v>36</v>
      </c>
      <c r="B19" s="13" t="s">
        <v>34</v>
      </c>
      <c r="C19" s="13" t="s">
        <v>354</v>
      </c>
      <c r="D19" s="13" t="s">
        <v>35</v>
      </c>
      <c r="E19" s="21">
        <v>8959.0400000000009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0"/>
    </row>
    <row r="20" spans="1:20" ht="153" customHeight="1" x14ac:dyDescent="0.25">
      <c r="A20" s="13" t="s">
        <v>37</v>
      </c>
      <c r="B20" s="13" t="s">
        <v>34</v>
      </c>
      <c r="C20" s="13" t="s">
        <v>355</v>
      </c>
      <c r="D20" s="13" t="s">
        <v>35</v>
      </c>
      <c r="E20" s="114">
        <v>3614.1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0"/>
    </row>
    <row r="21" spans="1:20" x14ac:dyDescent="0.25">
      <c r="A21" s="115" t="s">
        <v>38</v>
      </c>
      <c r="B21" s="116"/>
      <c r="C21" s="116"/>
      <c r="D21" s="11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47.25" x14ac:dyDescent="0.25">
      <c r="A22" s="13" t="s">
        <v>39</v>
      </c>
      <c r="B22" s="13" t="s">
        <v>40</v>
      </c>
      <c r="C22" s="13" t="s">
        <v>146</v>
      </c>
      <c r="D22" s="13" t="s">
        <v>41</v>
      </c>
      <c r="E22" s="21">
        <v>1.61</v>
      </c>
      <c r="F22" s="16"/>
      <c r="G22" s="16"/>
      <c r="H22" s="16"/>
      <c r="I22" s="16"/>
      <c r="J22" s="16"/>
      <c r="K22" s="16"/>
      <c r="L22" s="16"/>
      <c r="M22" s="16"/>
      <c r="N22" s="16"/>
      <c r="O22" s="22"/>
      <c r="P22" s="22"/>
      <c r="Q22" s="22"/>
      <c r="R22" s="22"/>
      <c r="S22" s="22"/>
      <c r="T22" s="3"/>
    </row>
    <row r="23" spans="1:20" ht="95.25" customHeight="1" x14ac:dyDescent="0.25">
      <c r="A23" s="13" t="s">
        <v>42</v>
      </c>
      <c r="B23" s="13" t="s">
        <v>40</v>
      </c>
      <c r="C23" s="13" t="s">
        <v>43</v>
      </c>
      <c r="D23" s="13" t="s">
        <v>44</v>
      </c>
      <c r="E23" s="21">
        <v>1.1499999999999999</v>
      </c>
      <c r="F23" s="16"/>
      <c r="G23" s="16"/>
      <c r="H23" s="16"/>
      <c r="I23" s="16"/>
      <c r="J23" s="16"/>
      <c r="K23" s="16"/>
      <c r="L23" s="16"/>
      <c r="M23" s="16"/>
      <c r="N23" s="16"/>
      <c r="O23" s="22"/>
      <c r="P23" s="22"/>
      <c r="Q23" s="22"/>
      <c r="R23" s="22"/>
      <c r="S23" s="22"/>
      <c r="T23" s="3"/>
    </row>
    <row r="24" spans="1:20" ht="84" customHeight="1" x14ac:dyDescent="0.25">
      <c r="A24" s="13" t="s">
        <v>45</v>
      </c>
      <c r="B24" s="13" t="s">
        <v>40</v>
      </c>
      <c r="C24" s="13" t="s">
        <v>46</v>
      </c>
      <c r="D24" s="13" t="s">
        <v>47</v>
      </c>
      <c r="E24" s="21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22"/>
      <c r="P24" s="22"/>
      <c r="Q24" s="22"/>
      <c r="R24" s="22"/>
      <c r="S24" s="22"/>
      <c r="T24" s="3"/>
    </row>
    <row r="25" spans="1:20" ht="68.25" customHeight="1" x14ac:dyDescent="0.25">
      <c r="A25" s="13" t="s">
        <v>345</v>
      </c>
      <c r="B25" s="13" t="s">
        <v>40</v>
      </c>
      <c r="C25" s="13" t="s">
        <v>173</v>
      </c>
      <c r="D25" s="13" t="s">
        <v>41</v>
      </c>
      <c r="E25" s="21">
        <v>1.0900000000000001</v>
      </c>
      <c r="F25" s="16"/>
      <c r="G25" s="16"/>
      <c r="H25" s="16"/>
      <c r="I25" s="16"/>
      <c r="J25" s="16"/>
      <c r="K25" s="16"/>
      <c r="L25" s="16"/>
      <c r="M25" s="16"/>
      <c r="N25" s="16"/>
      <c r="O25" s="22"/>
      <c r="P25" s="22"/>
      <c r="Q25" s="22"/>
      <c r="R25" s="22"/>
      <c r="S25" s="22"/>
      <c r="T25" s="3"/>
    </row>
    <row r="26" spans="1:20" ht="15.75" customHeight="1" x14ac:dyDescent="0.25">
      <c r="A26" s="115" t="s">
        <v>199</v>
      </c>
      <c r="B26" s="118"/>
      <c r="C26" s="118"/>
      <c r="D26" s="118"/>
      <c r="E26" s="118"/>
      <c r="F26" s="118"/>
      <c r="G26" s="118"/>
      <c r="H26" s="119"/>
      <c r="I26" s="19"/>
      <c r="J26" s="19"/>
      <c r="K26" s="19"/>
      <c r="L26" s="19"/>
      <c r="M26" s="19"/>
      <c r="N26" s="19"/>
      <c r="O26" s="12"/>
      <c r="P26" s="12"/>
      <c r="Q26" s="12"/>
      <c r="R26" s="12"/>
      <c r="S26" s="12"/>
      <c r="T26" s="12"/>
    </row>
    <row r="27" spans="1:20" ht="79.5" customHeight="1" x14ac:dyDescent="0.25">
      <c r="A27" s="13" t="s">
        <v>48</v>
      </c>
      <c r="B27" s="13" t="s">
        <v>40</v>
      </c>
      <c r="C27" s="13" t="s">
        <v>49</v>
      </c>
      <c r="D27" s="13" t="s">
        <v>50</v>
      </c>
      <c r="E27" s="21">
        <v>0.95</v>
      </c>
      <c r="F27" s="16"/>
      <c r="G27" s="16"/>
      <c r="H27" s="16"/>
      <c r="I27" s="16"/>
      <c r="J27" s="16"/>
      <c r="K27" s="16"/>
      <c r="L27" s="16"/>
      <c r="M27" s="16"/>
      <c r="N27" s="16"/>
      <c r="O27" s="22"/>
      <c r="P27" s="22"/>
      <c r="Q27" s="22"/>
      <c r="R27" s="22"/>
      <c r="S27" s="22"/>
      <c r="T27" s="3"/>
    </row>
    <row r="28" spans="1:20" ht="78.75" customHeight="1" x14ac:dyDescent="0.25">
      <c r="A28" s="13" t="s">
        <v>51</v>
      </c>
      <c r="B28" s="13" t="s">
        <v>40</v>
      </c>
      <c r="C28" s="13" t="s">
        <v>52</v>
      </c>
      <c r="D28" s="13" t="s">
        <v>53</v>
      </c>
      <c r="E28" s="21">
        <v>1.01</v>
      </c>
      <c r="F28" s="16"/>
      <c r="G28" s="16"/>
      <c r="H28" s="16"/>
      <c r="I28" s="16"/>
      <c r="J28" s="16"/>
      <c r="K28" s="16"/>
      <c r="L28" s="16"/>
      <c r="M28" s="16"/>
      <c r="N28" s="16"/>
      <c r="O28" s="22"/>
      <c r="P28" s="22"/>
      <c r="Q28" s="22"/>
      <c r="R28" s="22"/>
      <c r="S28" s="22"/>
      <c r="T28" s="3"/>
    </row>
    <row r="29" spans="1:20" ht="126" customHeight="1" x14ac:dyDescent="0.25">
      <c r="A29" s="13" t="s">
        <v>54</v>
      </c>
      <c r="B29" s="13" t="s">
        <v>40</v>
      </c>
      <c r="C29" s="13" t="s">
        <v>55</v>
      </c>
      <c r="D29" s="13" t="s">
        <v>56</v>
      </c>
      <c r="E29" s="21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22"/>
      <c r="P29" s="22"/>
      <c r="Q29" s="22"/>
      <c r="R29" s="22"/>
      <c r="S29" s="22"/>
      <c r="T29" s="3"/>
    </row>
    <row r="30" spans="1:20" ht="15.75" customHeight="1" x14ac:dyDescent="0.25">
      <c r="A30" s="23" t="s">
        <v>57</v>
      </c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26" x14ac:dyDescent="0.25">
      <c r="A31" s="26" t="s">
        <v>58</v>
      </c>
      <c r="B31" s="13" t="s">
        <v>10</v>
      </c>
      <c r="C31" s="13" t="s">
        <v>59</v>
      </c>
      <c r="D31" s="13" t="s">
        <v>60</v>
      </c>
      <c r="E31" s="27"/>
      <c r="F31" s="14">
        <f>F33+F36+F39</f>
        <v>1902.6999999999998</v>
      </c>
      <c r="G31" s="14">
        <f t="shared" ref="G31:S31" si="0">G33+G36+G39</f>
        <v>1911.1999999999998</v>
      </c>
      <c r="H31" s="14">
        <f t="shared" si="0"/>
        <v>1919.6999999999998</v>
      </c>
      <c r="I31" s="14">
        <f t="shared" si="0"/>
        <v>1928.1999999999998</v>
      </c>
      <c r="J31" s="14">
        <f t="shared" si="0"/>
        <v>1936.6999999999998</v>
      </c>
      <c r="K31" s="14">
        <f t="shared" si="0"/>
        <v>1945.1999999999996</v>
      </c>
      <c r="L31" s="14">
        <f t="shared" si="0"/>
        <v>1953.6999999999994</v>
      </c>
      <c r="M31" s="14">
        <f t="shared" si="0"/>
        <v>1962.1999999999994</v>
      </c>
      <c r="N31" s="14">
        <f t="shared" si="0"/>
        <v>1970.6999999999994</v>
      </c>
      <c r="O31" s="14">
        <f t="shared" si="0"/>
        <v>1979.1999999999994</v>
      </c>
      <c r="P31" s="14">
        <f t="shared" si="0"/>
        <v>1987.6999999999994</v>
      </c>
      <c r="Q31" s="14">
        <f t="shared" si="0"/>
        <v>1996.1999999999994</v>
      </c>
      <c r="R31" s="14">
        <f t="shared" si="0"/>
        <v>2004.6999999999994</v>
      </c>
      <c r="S31" s="14">
        <f t="shared" si="0"/>
        <v>2013.1999999999991</v>
      </c>
      <c r="T31" s="28">
        <f>E6+E10+E13+E16</f>
        <v>2013.2</v>
      </c>
    </row>
    <row r="32" spans="1:20" ht="50.25" customHeight="1" x14ac:dyDescent="0.25">
      <c r="A32" s="26" t="s">
        <v>61</v>
      </c>
      <c r="B32" s="13" t="s">
        <v>10</v>
      </c>
      <c r="C32" s="13" t="s">
        <v>62</v>
      </c>
      <c r="D32" s="13" t="s">
        <v>62</v>
      </c>
      <c r="E32" s="27"/>
      <c r="F32" s="14">
        <f>$E$7-F34-F37-F40</f>
        <v>683.29857142857145</v>
      </c>
      <c r="G32" s="14">
        <f>F32-F34-F37-F40</f>
        <v>630.73714285714289</v>
      </c>
      <c r="H32" s="14">
        <f t="shared" ref="H32:S32" si="1">G32-G34-G37-G40</f>
        <v>578.17571428571432</v>
      </c>
      <c r="I32" s="14">
        <f t="shared" si="1"/>
        <v>525.61428571428576</v>
      </c>
      <c r="J32" s="14">
        <f t="shared" si="1"/>
        <v>473.05285714285714</v>
      </c>
      <c r="K32" s="14">
        <f t="shared" si="1"/>
        <v>420.49142857142851</v>
      </c>
      <c r="L32" s="14">
        <f t="shared" si="1"/>
        <v>367.92999999999989</v>
      </c>
      <c r="M32" s="14">
        <f t="shared" si="1"/>
        <v>315.36857142857127</v>
      </c>
      <c r="N32" s="14">
        <f t="shared" si="1"/>
        <v>262.80714285714265</v>
      </c>
      <c r="O32" s="14">
        <f t="shared" si="1"/>
        <v>210.24571428571409</v>
      </c>
      <c r="P32" s="14">
        <f t="shared" si="1"/>
        <v>157.68428571428552</v>
      </c>
      <c r="Q32" s="14">
        <f t="shared" si="1"/>
        <v>105.12285714285697</v>
      </c>
      <c r="R32" s="14">
        <f t="shared" si="1"/>
        <v>52.561428571428408</v>
      </c>
      <c r="S32" s="14">
        <f t="shared" si="1"/>
        <v>-1.5987211554602254E-13</v>
      </c>
      <c r="T32" s="28">
        <f>S32</f>
        <v>-1.5987211554602254E-13</v>
      </c>
    </row>
    <row r="33" spans="1:21" ht="31.5" x14ac:dyDescent="0.25">
      <c r="A33" s="13" t="s">
        <v>63</v>
      </c>
      <c r="B33" s="13" t="s">
        <v>10</v>
      </c>
      <c r="C33" s="13" t="s">
        <v>62</v>
      </c>
      <c r="D33" s="13" t="s">
        <v>62</v>
      </c>
      <c r="E33" s="27"/>
      <c r="F33" s="14">
        <f>E8+E10/14</f>
        <v>413.68571428571425</v>
      </c>
      <c r="G33" s="14">
        <f>F33+F35</f>
        <v>415.47142857142853</v>
      </c>
      <c r="H33" s="14">
        <f>G33+G35</f>
        <v>417.25714285714281</v>
      </c>
      <c r="I33" s="14">
        <f>H33+H35</f>
        <v>419.04285714285709</v>
      </c>
      <c r="J33" s="14">
        <f t="shared" ref="J33:S33" si="2">I33+I35</f>
        <v>420.82857142857137</v>
      </c>
      <c r="K33" s="14">
        <f t="shared" si="2"/>
        <v>422.61428571428564</v>
      </c>
      <c r="L33" s="14">
        <f t="shared" si="2"/>
        <v>424.39999999999992</v>
      </c>
      <c r="M33" s="14">
        <f t="shared" si="2"/>
        <v>426.1857142857142</v>
      </c>
      <c r="N33" s="14">
        <f t="shared" si="2"/>
        <v>427.97142857142848</v>
      </c>
      <c r="O33" s="14">
        <f t="shared" si="2"/>
        <v>429.75714285714275</v>
      </c>
      <c r="P33" s="14">
        <f t="shared" si="2"/>
        <v>431.54285714285703</v>
      </c>
      <c r="Q33" s="14">
        <f t="shared" si="2"/>
        <v>433.32857142857131</v>
      </c>
      <c r="R33" s="14">
        <f t="shared" si="2"/>
        <v>435.11428571428559</v>
      </c>
      <c r="S33" s="14">
        <f t="shared" si="2"/>
        <v>436.89999999999986</v>
      </c>
      <c r="T33" s="28">
        <f>E8+E10</f>
        <v>436.9</v>
      </c>
    </row>
    <row r="34" spans="1:21" ht="47.25" x14ac:dyDescent="0.25">
      <c r="A34" s="13" t="s">
        <v>64</v>
      </c>
      <c r="B34" s="13" t="s">
        <v>10</v>
      </c>
      <c r="C34" s="13" t="s">
        <v>62</v>
      </c>
      <c r="D34" s="13" t="s">
        <v>62</v>
      </c>
      <c r="E34" s="29"/>
      <c r="F34" s="14">
        <f>$E$9/14</f>
        <v>11.014285714285714</v>
      </c>
      <c r="G34" s="14">
        <f t="shared" ref="G34:S34" si="3">$E$9/14</f>
        <v>11.014285714285714</v>
      </c>
      <c r="H34" s="14">
        <f t="shared" si="3"/>
        <v>11.014285714285714</v>
      </c>
      <c r="I34" s="14">
        <f t="shared" si="3"/>
        <v>11.014285714285714</v>
      </c>
      <c r="J34" s="14">
        <f t="shared" si="3"/>
        <v>11.014285714285714</v>
      </c>
      <c r="K34" s="14">
        <f t="shared" si="3"/>
        <v>11.014285714285714</v>
      </c>
      <c r="L34" s="14">
        <f t="shared" si="3"/>
        <v>11.014285714285714</v>
      </c>
      <c r="M34" s="14">
        <f t="shared" si="3"/>
        <v>11.014285714285714</v>
      </c>
      <c r="N34" s="14">
        <f t="shared" si="3"/>
        <v>11.014285714285714</v>
      </c>
      <c r="O34" s="14">
        <f t="shared" si="3"/>
        <v>11.014285714285714</v>
      </c>
      <c r="P34" s="14">
        <f t="shared" si="3"/>
        <v>11.014285714285714</v>
      </c>
      <c r="Q34" s="14">
        <f t="shared" si="3"/>
        <v>11.014285714285714</v>
      </c>
      <c r="R34" s="14">
        <f t="shared" si="3"/>
        <v>11.014285714285714</v>
      </c>
      <c r="S34" s="14">
        <f t="shared" si="3"/>
        <v>11.014285714285714</v>
      </c>
      <c r="T34" s="28">
        <f>SUM(F34:S34)</f>
        <v>154.20000000000002</v>
      </c>
    </row>
    <row r="35" spans="1:21" ht="31.5" x14ac:dyDescent="0.25">
      <c r="A35" s="13" t="s">
        <v>185</v>
      </c>
      <c r="B35" s="13" t="s">
        <v>10</v>
      </c>
      <c r="C35" s="13" t="s">
        <v>62</v>
      </c>
      <c r="D35" s="13" t="s">
        <v>62</v>
      </c>
      <c r="E35" s="29"/>
      <c r="F35" s="16">
        <f>$E$10/14</f>
        <v>1.7857142857142858</v>
      </c>
      <c r="G35" s="16">
        <f t="shared" ref="G35:S35" si="4">$E$10/14</f>
        <v>1.7857142857142858</v>
      </c>
      <c r="H35" s="16">
        <f t="shared" si="4"/>
        <v>1.7857142857142858</v>
      </c>
      <c r="I35" s="16">
        <f t="shared" si="4"/>
        <v>1.7857142857142858</v>
      </c>
      <c r="J35" s="16">
        <f t="shared" si="4"/>
        <v>1.7857142857142858</v>
      </c>
      <c r="K35" s="16">
        <f t="shared" si="4"/>
        <v>1.7857142857142858</v>
      </c>
      <c r="L35" s="16">
        <f t="shared" si="4"/>
        <v>1.7857142857142858</v>
      </c>
      <c r="M35" s="16">
        <f t="shared" si="4"/>
        <v>1.7857142857142858</v>
      </c>
      <c r="N35" s="16">
        <f t="shared" si="4"/>
        <v>1.7857142857142858</v>
      </c>
      <c r="O35" s="16">
        <f t="shared" si="4"/>
        <v>1.7857142857142858</v>
      </c>
      <c r="P35" s="16">
        <f t="shared" si="4"/>
        <v>1.7857142857142858</v>
      </c>
      <c r="Q35" s="16">
        <f t="shared" si="4"/>
        <v>1.7857142857142858</v>
      </c>
      <c r="R35" s="16">
        <f t="shared" si="4"/>
        <v>1.7857142857142858</v>
      </c>
      <c r="S35" s="16">
        <f t="shared" si="4"/>
        <v>1.7857142857142858</v>
      </c>
      <c r="T35" s="20">
        <f>SUM(F35:S35)</f>
        <v>24.999999999999996</v>
      </c>
      <c r="U35" s="30"/>
    </row>
    <row r="36" spans="1:21" ht="31.5" x14ac:dyDescent="0.25">
      <c r="A36" s="13" t="s">
        <v>65</v>
      </c>
      <c r="B36" s="13" t="s">
        <v>10</v>
      </c>
      <c r="C36" s="13" t="s">
        <v>62</v>
      </c>
      <c r="D36" s="13" t="s">
        <v>62</v>
      </c>
      <c r="E36" s="27"/>
      <c r="F36" s="16">
        <f>E11+E13/14</f>
        <v>764.3</v>
      </c>
      <c r="G36" s="16">
        <f>F36+F38</f>
        <v>767.8</v>
      </c>
      <c r="H36" s="16">
        <f>G36+G38</f>
        <v>771.3</v>
      </c>
      <c r="I36" s="16">
        <f t="shared" ref="I36:S36" si="5">H36+H38</f>
        <v>774.8</v>
      </c>
      <c r="J36" s="16">
        <f t="shared" si="5"/>
        <v>778.3</v>
      </c>
      <c r="K36" s="16">
        <f t="shared" si="5"/>
        <v>781.8</v>
      </c>
      <c r="L36" s="16">
        <f t="shared" si="5"/>
        <v>785.3</v>
      </c>
      <c r="M36" s="16">
        <f t="shared" si="5"/>
        <v>788.8</v>
      </c>
      <c r="N36" s="16">
        <f t="shared" si="5"/>
        <v>792.3</v>
      </c>
      <c r="O36" s="16">
        <f t="shared" si="5"/>
        <v>795.8</v>
      </c>
      <c r="P36" s="16">
        <f t="shared" si="5"/>
        <v>799.3</v>
      </c>
      <c r="Q36" s="16">
        <f t="shared" si="5"/>
        <v>802.8</v>
      </c>
      <c r="R36" s="16">
        <f t="shared" si="5"/>
        <v>806.3</v>
      </c>
      <c r="S36" s="16">
        <f t="shared" si="5"/>
        <v>809.8</v>
      </c>
      <c r="T36" s="20">
        <f>E11+E13</f>
        <v>809.8</v>
      </c>
    </row>
    <row r="37" spans="1:21" ht="47.25" x14ac:dyDescent="0.25">
      <c r="A37" s="13" t="s">
        <v>66</v>
      </c>
      <c r="B37" s="13" t="s">
        <v>10</v>
      </c>
      <c r="C37" s="13" t="s">
        <v>62</v>
      </c>
      <c r="D37" s="13" t="s">
        <v>62</v>
      </c>
      <c r="E37" s="29"/>
      <c r="F37" s="16">
        <f>$E$12/14</f>
        <v>26.014285714285712</v>
      </c>
      <c r="G37" s="16">
        <f t="shared" ref="G37:S37" si="6">$E$12/14</f>
        <v>26.014285714285712</v>
      </c>
      <c r="H37" s="16">
        <f t="shared" si="6"/>
        <v>26.014285714285712</v>
      </c>
      <c r="I37" s="16">
        <f t="shared" si="6"/>
        <v>26.014285714285712</v>
      </c>
      <c r="J37" s="16">
        <f t="shared" si="6"/>
        <v>26.014285714285712</v>
      </c>
      <c r="K37" s="16">
        <f t="shared" si="6"/>
        <v>26.014285714285712</v>
      </c>
      <c r="L37" s="16">
        <f t="shared" si="6"/>
        <v>26.014285714285712</v>
      </c>
      <c r="M37" s="16">
        <f t="shared" si="6"/>
        <v>26.014285714285712</v>
      </c>
      <c r="N37" s="16">
        <f t="shared" si="6"/>
        <v>26.014285714285712</v>
      </c>
      <c r="O37" s="16">
        <f t="shared" si="6"/>
        <v>26.014285714285712</v>
      </c>
      <c r="P37" s="16">
        <f t="shared" si="6"/>
        <v>26.014285714285712</v>
      </c>
      <c r="Q37" s="16">
        <f t="shared" si="6"/>
        <v>26.014285714285712</v>
      </c>
      <c r="R37" s="16">
        <f t="shared" si="6"/>
        <v>26.014285714285712</v>
      </c>
      <c r="S37" s="16">
        <f t="shared" si="6"/>
        <v>26.014285714285712</v>
      </c>
      <c r="T37" s="20">
        <f>SUM(F37:S37)</f>
        <v>364.20000000000005</v>
      </c>
    </row>
    <row r="38" spans="1:21" ht="31.5" x14ac:dyDescent="0.25">
      <c r="A38" s="13" t="s">
        <v>186</v>
      </c>
      <c r="B38" s="13" t="s">
        <v>10</v>
      </c>
      <c r="C38" s="13" t="s">
        <v>62</v>
      </c>
      <c r="D38" s="13" t="s">
        <v>62</v>
      </c>
      <c r="E38" s="29"/>
      <c r="F38" s="16">
        <f>$E$13/14</f>
        <v>3.5</v>
      </c>
      <c r="G38" s="16">
        <f t="shared" ref="G38:S38" si="7">$E$13/14</f>
        <v>3.5</v>
      </c>
      <c r="H38" s="16">
        <f t="shared" si="7"/>
        <v>3.5</v>
      </c>
      <c r="I38" s="16">
        <f t="shared" si="7"/>
        <v>3.5</v>
      </c>
      <c r="J38" s="16">
        <f t="shared" si="7"/>
        <v>3.5</v>
      </c>
      <c r="K38" s="16">
        <f t="shared" si="7"/>
        <v>3.5</v>
      </c>
      <c r="L38" s="16">
        <f t="shared" si="7"/>
        <v>3.5</v>
      </c>
      <c r="M38" s="16">
        <f t="shared" si="7"/>
        <v>3.5</v>
      </c>
      <c r="N38" s="16">
        <f t="shared" si="7"/>
        <v>3.5</v>
      </c>
      <c r="O38" s="16">
        <f t="shared" si="7"/>
        <v>3.5</v>
      </c>
      <c r="P38" s="16">
        <f t="shared" si="7"/>
        <v>3.5</v>
      </c>
      <c r="Q38" s="16">
        <f t="shared" si="7"/>
        <v>3.5</v>
      </c>
      <c r="R38" s="16">
        <f t="shared" si="7"/>
        <v>3.5</v>
      </c>
      <c r="S38" s="16">
        <f t="shared" si="7"/>
        <v>3.5</v>
      </c>
      <c r="T38" s="20">
        <f>SUM(F38:S38)</f>
        <v>49</v>
      </c>
    </row>
    <row r="39" spans="1:21" ht="63" x14ac:dyDescent="0.25">
      <c r="A39" s="13" t="s">
        <v>67</v>
      </c>
      <c r="B39" s="13" t="s">
        <v>10</v>
      </c>
      <c r="C39" s="13" t="s">
        <v>62</v>
      </c>
      <c r="D39" s="13" t="s">
        <v>62</v>
      </c>
      <c r="E39" s="27"/>
      <c r="F39" s="16">
        <f>E14+E16/14</f>
        <v>724.71428571428567</v>
      </c>
      <c r="G39" s="16">
        <f>F39+F41</f>
        <v>727.92857142857133</v>
      </c>
      <c r="H39" s="16">
        <f t="shared" ref="H39:S39" si="8">G39+G41</f>
        <v>731.142857142857</v>
      </c>
      <c r="I39" s="16">
        <f t="shared" si="8"/>
        <v>734.35714285714266</v>
      </c>
      <c r="J39" s="16">
        <f t="shared" si="8"/>
        <v>737.57142857142833</v>
      </c>
      <c r="K39" s="16">
        <f t="shared" si="8"/>
        <v>740.78571428571399</v>
      </c>
      <c r="L39" s="16">
        <f t="shared" si="8"/>
        <v>743.99999999999966</v>
      </c>
      <c r="M39" s="16">
        <f t="shared" si="8"/>
        <v>747.21428571428532</v>
      </c>
      <c r="N39" s="16">
        <f t="shared" si="8"/>
        <v>750.42857142857099</v>
      </c>
      <c r="O39" s="16">
        <f t="shared" si="8"/>
        <v>753.64285714285666</v>
      </c>
      <c r="P39" s="16">
        <f t="shared" si="8"/>
        <v>756.85714285714232</v>
      </c>
      <c r="Q39" s="16">
        <f t="shared" si="8"/>
        <v>760.07142857142799</v>
      </c>
      <c r="R39" s="16">
        <f t="shared" si="8"/>
        <v>763.28571428571365</v>
      </c>
      <c r="S39" s="16">
        <f t="shared" si="8"/>
        <v>766.49999999999932</v>
      </c>
      <c r="T39" s="20">
        <f>E14+E16</f>
        <v>766.5</v>
      </c>
    </row>
    <row r="40" spans="1:21" ht="53.25" customHeight="1" x14ac:dyDescent="0.25">
      <c r="A40" s="13" t="s">
        <v>68</v>
      </c>
      <c r="B40" s="13" t="s">
        <v>10</v>
      </c>
      <c r="C40" s="13" t="s">
        <v>62</v>
      </c>
      <c r="D40" s="13" t="s">
        <v>62</v>
      </c>
      <c r="E40" s="29"/>
      <c r="F40" s="16">
        <f>$E$15/14</f>
        <v>15.532857142857143</v>
      </c>
      <c r="G40" s="16">
        <f t="shared" ref="G40:S40" si="9">$E$15/14</f>
        <v>15.532857142857143</v>
      </c>
      <c r="H40" s="16">
        <f t="shared" si="9"/>
        <v>15.532857142857143</v>
      </c>
      <c r="I40" s="16">
        <f t="shared" si="9"/>
        <v>15.532857142857143</v>
      </c>
      <c r="J40" s="16">
        <f t="shared" si="9"/>
        <v>15.532857142857143</v>
      </c>
      <c r="K40" s="16">
        <f t="shared" si="9"/>
        <v>15.532857142857143</v>
      </c>
      <c r="L40" s="16">
        <f t="shared" si="9"/>
        <v>15.532857142857143</v>
      </c>
      <c r="M40" s="16">
        <f t="shared" si="9"/>
        <v>15.532857142857143</v>
      </c>
      <c r="N40" s="16">
        <f t="shared" si="9"/>
        <v>15.532857142857143</v>
      </c>
      <c r="O40" s="16">
        <f t="shared" si="9"/>
        <v>15.532857142857143</v>
      </c>
      <c r="P40" s="16">
        <f t="shared" si="9"/>
        <v>15.532857142857143</v>
      </c>
      <c r="Q40" s="16">
        <f t="shared" si="9"/>
        <v>15.532857142857143</v>
      </c>
      <c r="R40" s="16">
        <f t="shared" si="9"/>
        <v>15.532857142857143</v>
      </c>
      <c r="S40" s="16">
        <f t="shared" si="9"/>
        <v>15.532857142857143</v>
      </c>
      <c r="T40" s="20">
        <f>SUM(F40:S40)</f>
        <v>217.46000000000004</v>
      </c>
    </row>
    <row r="41" spans="1:21" ht="31.5" x14ac:dyDescent="0.25">
      <c r="A41" s="13" t="s">
        <v>187</v>
      </c>
      <c r="B41" s="13"/>
      <c r="C41" s="13" t="s">
        <v>62</v>
      </c>
      <c r="D41" s="13" t="s">
        <v>62</v>
      </c>
      <c r="E41" s="29"/>
      <c r="F41" s="16">
        <f>$E$16/14</f>
        <v>3.2142857142857144</v>
      </c>
      <c r="G41" s="16">
        <f t="shared" ref="G41:S41" si="10">$E$16/14</f>
        <v>3.2142857142857144</v>
      </c>
      <c r="H41" s="16">
        <f t="shared" si="10"/>
        <v>3.2142857142857144</v>
      </c>
      <c r="I41" s="16">
        <f t="shared" si="10"/>
        <v>3.2142857142857144</v>
      </c>
      <c r="J41" s="16">
        <f t="shared" si="10"/>
        <v>3.2142857142857144</v>
      </c>
      <c r="K41" s="16">
        <f t="shared" si="10"/>
        <v>3.2142857142857144</v>
      </c>
      <c r="L41" s="16">
        <f t="shared" si="10"/>
        <v>3.2142857142857144</v>
      </c>
      <c r="M41" s="16">
        <f t="shared" si="10"/>
        <v>3.2142857142857144</v>
      </c>
      <c r="N41" s="16">
        <f t="shared" si="10"/>
        <v>3.2142857142857144</v>
      </c>
      <c r="O41" s="16">
        <f t="shared" si="10"/>
        <v>3.2142857142857144</v>
      </c>
      <c r="P41" s="16">
        <f t="shared" si="10"/>
        <v>3.2142857142857144</v>
      </c>
      <c r="Q41" s="16">
        <f t="shared" si="10"/>
        <v>3.2142857142857144</v>
      </c>
      <c r="R41" s="16">
        <f t="shared" si="10"/>
        <v>3.2142857142857144</v>
      </c>
      <c r="S41" s="16">
        <f t="shared" si="10"/>
        <v>3.2142857142857144</v>
      </c>
      <c r="T41" s="20">
        <f>SUM(F41:S41)</f>
        <v>45.000000000000007</v>
      </c>
    </row>
    <row r="42" spans="1:21" s="33" customFormat="1" ht="31.5" x14ac:dyDescent="0.25">
      <c r="A42" s="7" t="s">
        <v>69</v>
      </c>
      <c r="B42" s="31"/>
      <c r="C42" s="31"/>
      <c r="D42" s="31"/>
      <c r="E42" s="31" t="s">
        <v>70</v>
      </c>
      <c r="F42" s="32">
        <v>2022</v>
      </c>
      <c r="G42" s="32">
        <v>2023</v>
      </c>
      <c r="H42" s="32">
        <v>2024</v>
      </c>
      <c r="I42" s="32">
        <v>2025</v>
      </c>
      <c r="J42" s="32">
        <v>2026</v>
      </c>
      <c r="K42" s="32">
        <v>2027</v>
      </c>
      <c r="L42" s="32">
        <v>2028</v>
      </c>
      <c r="M42" s="32">
        <v>2029</v>
      </c>
      <c r="N42" s="32">
        <v>2030</v>
      </c>
      <c r="O42" s="32">
        <v>2031</v>
      </c>
      <c r="P42" s="32">
        <v>2032</v>
      </c>
      <c r="Q42" s="32">
        <v>2033</v>
      </c>
      <c r="R42" s="32">
        <v>2034</v>
      </c>
      <c r="S42" s="32">
        <v>2035</v>
      </c>
      <c r="T42" s="32" t="s">
        <v>6</v>
      </c>
    </row>
    <row r="43" spans="1:21" s="33" customFormat="1" ht="103.5" customHeight="1" x14ac:dyDescent="0.25">
      <c r="A43" s="34" t="s">
        <v>321</v>
      </c>
      <c r="B43" s="34" t="s">
        <v>71</v>
      </c>
      <c r="C43" s="34" t="s">
        <v>72</v>
      </c>
      <c r="D43" s="34" t="s">
        <v>73</v>
      </c>
      <c r="E43" s="43">
        <f>(E9*E18)+(E12*E19)+(E15*E20)</f>
        <v>9143123.8320000004</v>
      </c>
      <c r="F43" s="43">
        <f>F34*$E$18+F37*$E$19+F40*$E$20</f>
        <v>653080.27371428569</v>
      </c>
      <c r="G43" s="43">
        <f t="shared" ref="G43:S44" si="11">G34*$E$18+G37*$E$19+G40*$E$20</f>
        <v>653080.27371428569</v>
      </c>
      <c r="H43" s="43">
        <f t="shared" si="11"/>
        <v>653080.27371428569</v>
      </c>
      <c r="I43" s="43">
        <f t="shared" si="11"/>
        <v>653080.27371428569</v>
      </c>
      <c r="J43" s="43">
        <f t="shared" si="11"/>
        <v>653080.27371428569</v>
      </c>
      <c r="K43" s="43">
        <f t="shared" si="11"/>
        <v>653080.27371428569</v>
      </c>
      <c r="L43" s="43">
        <f t="shared" si="11"/>
        <v>653080.27371428569</v>
      </c>
      <c r="M43" s="43">
        <f t="shared" si="11"/>
        <v>653080.27371428569</v>
      </c>
      <c r="N43" s="43">
        <f t="shared" si="11"/>
        <v>653080.27371428569</v>
      </c>
      <c r="O43" s="43">
        <f t="shared" si="11"/>
        <v>653080.27371428569</v>
      </c>
      <c r="P43" s="43">
        <f t="shared" si="11"/>
        <v>653080.27371428569</v>
      </c>
      <c r="Q43" s="43">
        <f t="shared" si="11"/>
        <v>653080.27371428569</v>
      </c>
      <c r="R43" s="43">
        <f t="shared" si="11"/>
        <v>653080.27371428569</v>
      </c>
      <c r="S43" s="43">
        <f t="shared" si="11"/>
        <v>653080.27371428569</v>
      </c>
      <c r="T43" s="36">
        <f>SUM(F43:S43)</f>
        <v>9143123.8319999985</v>
      </c>
    </row>
    <row r="44" spans="1:21" s="33" customFormat="1" ht="103.5" customHeight="1" x14ac:dyDescent="0.25">
      <c r="A44" s="34" t="s">
        <v>322</v>
      </c>
      <c r="B44" s="34" t="s">
        <v>71</v>
      </c>
      <c r="C44" s="34" t="s">
        <v>72</v>
      </c>
      <c r="D44" s="34" t="s">
        <v>73</v>
      </c>
      <c r="E44" s="43">
        <f>E10*E18+E13*E19+E16*E20</f>
        <v>1427554.71</v>
      </c>
      <c r="F44" s="43">
        <f>F35*$E$18+F38*$E$19+F41*$E$20</f>
        <v>101968.19357142856</v>
      </c>
      <c r="G44" s="43">
        <f t="shared" si="11"/>
        <v>101968.19357142856</v>
      </c>
      <c r="H44" s="43">
        <f t="shared" si="11"/>
        <v>101968.19357142856</v>
      </c>
      <c r="I44" s="43">
        <f t="shared" si="11"/>
        <v>101968.19357142856</v>
      </c>
      <c r="J44" s="43">
        <f t="shared" si="11"/>
        <v>101968.19357142856</v>
      </c>
      <c r="K44" s="43">
        <f t="shared" si="11"/>
        <v>101968.19357142856</v>
      </c>
      <c r="L44" s="43">
        <f t="shared" si="11"/>
        <v>101968.19357142856</v>
      </c>
      <c r="M44" s="43">
        <f t="shared" si="11"/>
        <v>101968.19357142856</v>
      </c>
      <c r="N44" s="43">
        <f t="shared" si="11"/>
        <v>101968.19357142856</v>
      </c>
      <c r="O44" s="43">
        <f t="shared" si="11"/>
        <v>101968.19357142856</v>
      </c>
      <c r="P44" s="43">
        <f t="shared" si="11"/>
        <v>101968.19357142856</v>
      </c>
      <c r="Q44" s="43">
        <f t="shared" si="11"/>
        <v>101968.19357142856</v>
      </c>
      <c r="R44" s="43">
        <f t="shared" si="11"/>
        <v>101968.19357142856</v>
      </c>
      <c r="S44" s="43">
        <f t="shared" si="11"/>
        <v>101968.19357142856</v>
      </c>
      <c r="T44" s="36">
        <f>SUM(F44:S44)</f>
        <v>1427554.7099999997</v>
      </c>
    </row>
    <row r="45" spans="1:21" s="33" customFormat="1" ht="78.75" x14ac:dyDescent="0.25">
      <c r="A45" s="13" t="s">
        <v>74</v>
      </c>
      <c r="B45" s="13" t="s">
        <v>40</v>
      </c>
      <c r="C45" s="13" t="s">
        <v>75</v>
      </c>
      <c r="D45" s="13" t="s">
        <v>73</v>
      </c>
      <c r="E45" s="21">
        <f>1+(E22-1)+(E23-1)+(E24-1)+(E25-1)</f>
        <v>1.85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6"/>
    </row>
    <row r="46" spans="1:21" s="33" customFormat="1" ht="77.25" customHeight="1" x14ac:dyDescent="0.25">
      <c r="A46" s="13" t="s">
        <v>76</v>
      </c>
      <c r="B46" s="13" t="s">
        <v>40</v>
      </c>
      <c r="C46" s="13" t="s">
        <v>77</v>
      </c>
      <c r="D46" s="13" t="s">
        <v>73</v>
      </c>
      <c r="E46" s="21">
        <f>E27*E28*E29</f>
        <v>0.95949999999999991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6"/>
    </row>
    <row r="47" spans="1:21" s="33" customFormat="1" ht="110.25" x14ac:dyDescent="0.25">
      <c r="A47" s="34" t="s">
        <v>323</v>
      </c>
      <c r="B47" s="34" t="s">
        <v>71</v>
      </c>
      <c r="C47" s="13" t="s">
        <v>78</v>
      </c>
      <c r="D47" s="13" t="s">
        <v>73</v>
      </c>
      <c r="E47" s="43">
        <f>(E43+E44)*E45*E46</f>
        <v>18763747.212940648</v>
      </c>
      <c r="F47" s="43">
        <f>(F43+F44)*$E$45*$E$46</f>
        <v>1340267.6580671892</v>
      </c>
      <c r="G47" s="43">
        <f t="shared" ref="G47:S47" si="12">(G43+G44)*$E$45*$E$46</f>
        <v>1340267.6580671892</v>
      </c>
      <c r="H47" s="43">
        <f t="shared" si="12"/>
        <v>1340267.6580671892</v>
      </c>
      <c r="I47" s="43">
        <f t="shared" si="12"/>
        <v>1340267.6580671892</v>
      </c>
      <c r="J47" s="43">
        <f t="shared" si="12"/>
        <v>1340267.6580671892</v>
      </c>
      <c r="K47" s="43">
        <f t="shared" si="12"/>
        <v>1340267.6580671892</v>
      </c>
      <c r="L47" s="43">
        <f t="shared" si="12"/>
        <v>1340267.6580671892</v>
      </c>
      <c r="M47" s="43">
        <f t="shared" si="12"/>
        <v>1340267.6580671892</v>
      </c>
      <c r="N47" s="43">
        <f t="shared" si="12"/>
        <v>1340267.6580671892</v>
      </c>
      <c r="O47" s="43">
        <f t="shared" si="12"/>
        <v>1340267.6580671892</v>
      </c>
      <c r="P47" s="43">
        <f t="shared" si="12"/>
        <v>1340267.6580671892</v>
      </c>
      <c r="Q47" s="43">
        <f t="shared" si="12"/>
        <v>1340267.6580671892</v>
      </c>
      <c r="R47" s="43">
        <f t="shared" si="12"/>
        <v>1340267.6580671892</v>
      </c>
      <c r="S47" s="43">
        <f t="shared" si="12"/>
        <v>1340267.6580671892</v>
      </c>
      <c r="T47" s="38">
        <f>SUM(F47:S47)</f>
        <v>18763747.212940648</v>
      </c>
    </row>
    <row r="48" spans="1:21" x14ac:dyDescent="0.25">
      <c r="A48" s="7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10.25" x14ac:dyDescent="0.25">
      <c r="A49" s="39" t="s">
        <v>80</v>
      </c>
      <c r="B49" s="40" t="s">
        <v>81</v>
      </c>
      <c r="C49" s="13" t="s">
        <v>192</v>
      </c>
      <c r="D49" s="13" t="s">
        <v>82</v>
      </c>
      <c r="E49" s="14">
        <v>108.6</v>
      </c>
      <c r="F49" s="14">
        <v>104</v>
      </c>
      <c r="G49" s="14">
        <v>104</v>
      </c>
      <c r="H49" s="14">
        <v>104</v>
      </c>
      <c r="I49" s="14">
        <v>104</v>
      </c>
      <c r="J49" s="14">
        <v>104</v>
      </c>
      <c r="K49" s="14">
        <v>104</v>
      </c>
      <c r="L49" s="14">
        <v>104</v>
      </c>
      <c r="M49" s="14">
        <v>104</v>
      </c>
      <c r="N49" s="14">
        <v>104</v>
      </c>
      <c r="O49" s="14">
        <v>104</v>
      </c>
      <c r="P49" s="14">
        <v>104</v>
      </c>
      <c r="Q49" s="14">
        <v>104</v>
      </c>
      <c r="R49" s="14">
        <v>104</v>
      </c>
      <c r="S49" s="14">
        <v>104</v>
      </c>
      <c r="T49" s="36"/>
    </row>
    <row r="50" spans="1:20" ht="47.25" x14ac:dyDescent="0.25">
      <c r="A50" s="39" t="s">
        <v>83</v>
      </c>
      <c r="B50" s="40" t="s">
        <v>350</v>
      </c>
      <c r="C50" s="13"/>
      <c r="D50" s="13" t="s">
        <v>73</v>
      </c>
      <c r="E50" s="41"/>
      <c r="F50" s="41">
        <f>F49/100</f>
        <v>1.04</v>
      </c>
      <c r="G50" s="41">
        <f>F49*G49/10000</f>
        <v>1.0815999999999999</v>
      </c>
      <c r="H50" s="41">
        <f t="shared" ref="H50:S50" si="13">G50*H49/100</f>
        <v>1.1248639999999999</v>
      </c>
      <c r="I50" s="41">
        <f t="shared" si="13"/>
        <v>1.1698585599999998</v>
      </c>
      <c r="J50" s="41">
        <f t="shared" si="13"/>
        <v>1.2166529023999997</v>
      </c>
      <c r="K50" s="41">
        <f t="shared" si="13"/>
        <v>1.2653190184959997</v>
      </c>
      <c r="L50" s="41">
        <f t="shared" si="13"/>
        <v>1.3159317792358396</v>
      </c>
      <c r="M50" s="41">
        <f t="shared" si="13"/>
        <v>1.3685690504052732</v>
      </c>
      <c r="N50" s="41">
        <f t="shared" si="13"/>
        <v>1.4233118124214841</v>
      </c>
      <c r="O50" s="41">
        <f t="shared" si="13"/>
        <v>1.4802442849183435</v>
      </c>
      <c r="P50" s="41">
        <f t="shared" si="13"/>
        <v>1.5394540563150771</v>
      </c>
      <c r="Q50" s="41">
        <f t="shared" si="13"/>
        <v>1.6010322185676802</v>
      </c>
      <c r="R50" s="41">
        <f t="shared" si="13"/>
        <v>1.6650735073103875</v>
      </c>
      <c r="S50" s="41">
        <f t="shared" si="13"/>
        <v>1.731676447602803</v>
      </c>
      <c r="T50" s="36"/>
    </row>
    <row r="51" spans="1:20" ht="47.25" x14ac:dyDescent="0.25">
      <c r="A51" s="34" t="s">
        <v>194</v>
      </c>
      <c r="B51" s="34" t="s">
        <v>71</v>
      </c>
      <c r="C51" s="13" t="s">
        <v>84</v>
      </c>
      <c r="D51" s="13" t="s">
        <v>73</v>
      </c>
      <c r="E51" s="42"/>
      <c r="F51" s="43">
        <f>$F$47*F50</f>
        <v>1393878.3643898768</v>
      </c>
      <c r="G51" s="43">
        <f t="shared" ref="G51:S51" si="14">$F$47*G50</f>
        <v>1449633.4989654718</v>
      </c>
      <c r="H51" s="43">
        <f t="shared" si="14"/>
        <v>1507618.8389240904</v>
      </c>
      <c r="I51" s="43">
        <f t="shared" si="14"/>
        <v>1567923.5924810539</v>
      </c>
      <c r="J51" s="43">
        <f t="shared" si="14"/>
        <v>1630640.536180296</v>
      </c>
      <c r="K51" s="43">
        <f t="shared" si="14"/>
        <v>1695866.1576275078</v>
      </c>
      <c r="L51" s="43">
        <f t="shared" si="14"/>
        <v>1763700.8039326081</v>
      </c>
      <c r="M51" s="43">
        <f t="shared" si="14"/>
        <v>1834248.8360899126</v>
      </c>
      <c r="N51" s="43">
        <f t="shared" si="14"/>
        <v>1907618.7895335089</v>
      </c>
      <c r="O51" s="43">
        <f t="shared" si="14"/>
        <v>1983923.5411148493</v>
      </c>
      <c r="P51" s="43">
        <f t="shared" si="14"/>
        <v>2063280.4827594431</v>
      </c>
      <c r="Q51" s="43">
        <f t="shared" si="14"/>
        <v>2145811.7020698208</v>
      </c>
      <c r="R51" s="43">
        <f t="shared" si="14"/>
        <v>2231644.1701526139</v>
      </c>
      <c r="S51" s="43">
        <f t="shared" si="14"/>
        <v>2320909.9369587186</v>
      </c>
      <c r="T51" s="38">
        <f>SUM(F51:S51)</f>
        <v>25496699.251179773</v>
      </c>
    </row>
    <row r="53" spans="1:20" x14ac:dyDescent="0.25">
      <c r="F53" s="44"/>
      <c r="G53" s="44"/>
    </row>
    <row r="100" spans="1:19" hidden="1" x14ac:dyDescent="0.25">
      <c r="A100" s="45" t="s">
        <v>85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1:19" s="33" customFormat="1" hidden="1" x14ac:dyDescent="0.25">
      <c r="A101" s="47" t="s">
        <v>86</v>
      </c>
      <c r="B101" s="48" t="s">
        <v>87</v>
      </c>
      <c r="C101" s="47" t="s">
        <v>88</v>
      </c>
      <c r="D101" s="49"/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</row>
    <row r="102" spans="1:19" s="33" customFormat="1" hidden="1" x14ac:dyDescent="0.25">
      <c r="A102" s="47" t="s">
        <v>89</v>
      </c>
      <c r="B102" s="48" t="s">
        <v>90</v>
      </c>
      <c r="C102" s="47" t="s">
        <v>91</v>
      </c>
      <c r="D102" s="49"/>
      <c r="E102" s="50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</row>
    <row r="103" spans="1:19" s="33" customFormat="1" hidden="1" x14ac:dyDescent="0.25">
      <c r="A103" s="47" t="s">
        <v>92</v>
      </c>
      <c r="B103" s="48" t="s">
        <v>93</v>
      </c>
      <c r="C103" s="47" t="s">
        <v>91</v>
      </c>
      <c r="D103" s="49"/>
      <c r="E103" s="50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</row>
    <row r="104" spans="1:19" s="33" customFormat="1" hidden="1" x14ac:dyDescent="0.25">
      <c r="A104" s="13" t="s">
        <v>94</v>
      </c>
      <c r="B104" s="40" t="s">
        <v>93</v>
      </c>
      <c r="C104" s="13" t="s">
        <v>88</v>
      </c>
      <c r="D104" s="37"/>
      <c r="E104" s="52" t="e">
        <f>#REF!*(#REF!/#REF!)*1000</f>
        <v>#REF!</v>
      </c>
      <c r="F104" s="52" t="e">
        <f>E104</f>
        <v>#REF!</v>
      </c>
      <c r="G104" s="52" t="e">
        <f t="shared" ref="G104:S104" si="15">F104</f>
        <v>#REF!</v>
      </c>
      <c r="H104" s="52" t="e">
        <f t="shared" si="15"/>
        <v>#REF!</v>
      </c>
      <c r="I104" s="52" t="e">
        <f t="shared" si="15"/>
        <v>#REF!</v>
      </c>
      <c r="J104" s="52" t="e">
        <f t="shared" si="15"/>
        <v>#REF!</v>
      </c>
      <c r="K104" s="52" t="e">
        <f t="shared" si="15"/>
        <v>#REF!</v>
      </c>
      <c r="L104" s="52" t="e">
        <f t="shared" si="15"/>
        <v>#REF!</v>
      </c>
      <c r="M104" s="52" t="e">
        <f t="shared" si="15"/>
        <v>#REF!</v>
      </c>
      <c r="N104" s="52" t="e">
        <f t="shared" si="15"/>
        <v>#REF!</v>
      </c>
      <c r="O104" s="52" t="e">
        <f t="shared" si="15"/>
        <v>#REF!</v>
      </c>
      <c r="P104" s="52" t="e">
        <f t="shared" si="15"/>
        <v>#REF!</v>
      </c>
      <c r="Q104" s="52" t="e">
        <f t="shared" si="15"/>
        <v>#REF!</v>
      </c>
      <c r="R104" s="52" t="e">
        <f t="shared" si="15"/>
        <v>#REF!</v>
      </c>
      <c r="S104" s="52" t="e">
        <f t="shared" si="15"/>
        <v>#REF!</v>
      </c>
    </row>
    <row r="105" spans="1:19" s="33" customFormat="1" ht="31.5" hidden="1" x14ac:dyDescent="0.25">
      <c r="A105" s="13" t="s">
        <v>95</v>
      </c>
      <c r="B105" s="40" t="s">
        <v>96</v>
      </c>
      <c r="C105" s="13" t="s">
        <v>88</v>
      </c>
      <c r="D105" s="37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</row>
    <row r="106" spans="1:19" s="33" customFormat="1" ht="31.5" hidden="1" x14ac:dyDescent="0.25">
      <c r="A106" s="13" t="s">
        <v>97</v>
      </c>
      <c r="B106" s="40" t="s">
        <v>96</v>
      </c>
      <c r="C106" s="13" t="s">
        <v>88</v>
      </c>
      <c r="D106" s="37"/>
      <c r="E106" s="52" t="e">
        <f>E104*'[1]Свод и выручка Водоканала'!#REF!/1000/1000*365</f>
        <v>#REF!</v>
      </c>
      <c r="F106" s="52" t="e">
        <f>F104*'[1]Свод и выручка Водоканала'!#REF!/1000/1000*365</f>
        <v>#REF!</v>
      </c>
      <c r="G106" s="52" t="e">
        <f>G104*'[1]Свод и выручка Водоканала'!#REF!/1000/1000*365</f>
        <v>#REF!</v>
      </c>
      <c r="H106" s="52" t="e">
        <f>H104*'[1]Свод и выручка Водоканала'!#REF!/1000/1000*365</f>
        <v>#REF!</v>
      </c>
      <c r="I106" s="52" t="e">
        <f>I104*'[1]Свод и выручка Водоканала'!#REF!/1000/1000*365</f>
        <v>#REF!</v>
      </c>
      <c r="J106" s="52" t="e">
        <f>J104*'[1]Свод и выручка Водоканала'!#REF!/1000/1000*365</f>
        <v>#REF!</v>
      </c>
      <c r="K106" s="52" t="e">
        <f>K104*'[1]Свод и выручка Водоканала'!#REF!/1000/1000*365</f>
        <v>#REF!</v>
      </c>
      <c r="L106" s="52" t="e">
        <f>L104*'[1]Свод и выручка Водоканала'!#REF!/1000/1000*365</f>
        <v>#REF!</v>
      </c>
      <c r="M106" s="52" t="e">
        <f>M104*'[1]Свод и выручка Водоканала'!#REF!/1000/1000*365</f>
        <v>#REF!</v>
      </c>
      <c r="N106" s="52" t="e">
        <f>N104*'[1]Свод и выручка Водоканала'!#REF!/1000/1000*365</f>
        <v>#REF!</v>
      </c>
      <c r="O106" s="52" t="e">
        <f>O104*'[1]Свод и выручка Водоканала'!#REF!/1000/1000*365</f>
        <v>#REF!</v>
      </c>
      <c r="P106" s="52" t="e">
        <f>P104*'[1]Свод и выручка Водоканала'!#REF!/1000/1000*365</f>
        <v>#REF!</v>
      </c>
      <c r="Q106" s="52" t="e">
        <f>Q104*'[1]Свод и выручка Водоканала'!#REF!/1000/1000*365</f>
        <v>#REF!</v>
      </c>
      <c r="R106" s="52" t="e">
        <f>R104*'[1]Свод и выручка Водоканала'!#REF!/1000/1000*365</f>
        <v>#REF!</v>
      </c>
      <c r="S106" s="52" t="e">
        <f>S104*'[1]Свод и выручка Водоканала'!#REF!/1000/1000*365</f>
        <v>#REF!</v>
      </c>
    </row>
    <row r="107" spans="1:19" s="33" customFormat="1" ht="31.5" hidden="1" x14ac:dyDescent="0.25">
      <c r="A107" s="13" t="s">
        <v>98</v>
      </c>
      <c r="B107" s="40" t="s">
        <v>96</v>
      </c>
      <c r="C107" s="13" t="s">
        <v>88</v>
      </c>
      <c r="D107" s="37"/>
      <c r="E107" s="52" t="e">
        <f>E104*'[1]Свод и выручка Водоканала'!#REF!/1000/1000*365</f>
        <v>#REF!</v>
      </c>
      <c r="F107" s="52" t="e">
        <f>F104*'[1]Свод и выручка Водоканала'!#REF!/1000/1000*365</f>
        <v>#REF!</v>
      </c>
      <c r="G107" s="52" t="e">
        <f>G104*'[1]Свод и выручка Водоканала'!#REF!/1000/1000*365</f>
        <v>#REF!</v>
      </c>
      <c r="H107" s="52" t="e">
        <f>H104*'[1]Свод и выручка Водоканала'!#REF!/1000/1000*365</f>
        <v>#REF!</v>
      </c>
      <c r="I107" s="52" t="e">
        <f>I104*'[1]Свод и выручка Водоканала'!#REF!/1000/1000*365</f>
        <v>#REF!</v>
      </c>
      <c r="J107" s="52" t="e">
        <f>J104*'[1]Свод и выручка Водоканала'!#REF!/1000/1000*365</f>
        <v>#REF!</v>
      </c>
      <c r="K107" s="52" t="e">
        <f>K104*'[1]Свод и выручка Водоканала'!#REF!/1000/1000*365</f>
        <v>#REF!</v>
      </c>
      <c r="L107" s="52" t="e">
        <f>L104*'[1]Свод и выручка Водоканала'!#REF!/1000/1000*365</f>
        <v>#REF!</v>
      </c>
      <c r="M107" s="52" t="e">
        <f>M104*'[1]Свод и выручка Водоканала'!#REF!/1000/1000*365</f>
        <v>#REF!</v>
      </c>
      <c r="N107" s="52" t="e">
        <f>N104*'[1]Свод и выручка Водоканала'!#REF!/1000/1000*365</f>
        <v>#REF!</v>
      </c>
      <c r="O107" s="52" t="e">
        <f>O104*'[1]Свод и выручка Водоканала'!#REF!/1000/1000*365</f>
        <v>#REF!</v>
      </c>
      <c r="P107" s="52" t="e">
        <f>P104*'[1]Свод и выручка Водоканала'!#REF!/1000/1000*365</f>
        <v>#REF!</v>
      </c>
      <c r="Q107" s="52" t="e">
        <f>Q104*'[1]Свод и выручка Водоканала'!#REF!/1000/1000*365</f>
        <v>#REF!</v>
      </c>
      <c r="R107" s="52" t="e">
        <f>R104*'[1]Свод и выручка Водоканала'!#REF!/1000/1000*365</f>
        <v>#REF!</v>
      </c>
      <c r="S107" s="52" t="e">
        <f>S104*'[1]Свод и выручка Водоканала'!#REF!/1000/1000*365</f>
        <v>#REF!</v>
      </c>
    </row>
    <row r="108" spans="1:19" s="33" customFormat="1" ht="31.5" hidden="1" x14ac:dyDescent="0.25">
      <c r="A108" s="45" t="s">
        <v>99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</row>
    <row r="109" spans="1:19" s="33" customFormat="1" ht="31.5" hidden="1" x14ac:dyDescent="0.25">
      <c r="A109" s="13" t="s">
        <v>99</v>
      </c>
      <c r="B109" s="40" t="s">
        <v>100</v>
      </c>
      <c r="C109" s="13" t="s">
        <v>88</v>
      </c>
      <c r="D109" s="37"/>
      <c r="E109" s="53" t="e">
        <f>('[1]Свод и выручка Водоканала'!#REF!*E104*'[1]Свод и выручка Водоканала'!#REF!+E104*'[1]Свод и выручка Водоканала'!#REF!*'[1]Свод и выручка Водоканала'!#REF!)/1000/1000*365</f>
        <v>#REF!</v>
      </c>
      <c r="F109" s="53" t="e">
        <f>('[1]Свод и выручка Водоканала'!#REF!*F104*'[1]Свод и выручка Водоканала'!#REF!+F104*'[1]Свод и выручка Водоканала'!#REF!*'[1]Свод и выручка Водоканала'!#REF!)/1000/1000*365</f>
        <v>#REF!</v>
      </c>
      <c r="G109" s="53" t="e">
        <f>('[1]Свод и выручка Водоканала'!#REF!*G104*'[1]Свод и выручка Водоканала'!#REF!+G104*'[1]Свод и выручка Водоканала'!#REF!*'[1]Свод и выручка Водоканала'!#REF!)/1000/1000*365</f>
        <v>#REF!</v>
      </c>
      <c r="H109" s="53" t="e">
        <f>('[1]Свод и выручка Водоканала'!#REF!*H104*'[1]Свод и выручка Водоканала'!#REF!+H104*'[1]Свод и выручка Водоканала'!#REF!*'[1]Свод и выручка Водоканала'!#REF!)/1000/1000*365</f>
        <v>#REF!</v>
      </c>
      <c r="I109" s="53" t="e">
        <f>('[1]Свод и выручка Водоканала'!#REF!*I104*'[1]Свод и выручка Водоканала'!#REF!+I104*'[1]Свод и выручка Водоканала'!#REF!*'[1]Свод и выручка Водоканала'!#REF!)/1000/1000*365</f>
        <v>#REF!</v>
      </c>
      <c r="J109" s="53" t="e">
        <f>('[1]Свод и выручка Водоканала'!#REF!*J104*'[1]Свод и выручка Водоканала'!#REF!+J104*'[1]Свод и выручка Водоканала'!#REF!*'[1]Свод и выручка Водоканала'!#REF!)/1000/1000*365</f>
        <v>#REF!</v>
      </c>
      <c r="K109" s="53" t="e">
        <f>('[1]Свод и выручка Водоканала'!#REF!*K104*'[1]Свод и выручка Водоканала'!#REF!+K104*'[1]Свод и выручка Водоканала'!#REF!*'[1]Свод и выручка Водоканала'!#REF!)/1000/1000*365</f>
        <v>#REF!</v>
      </c>
      <c r="L109" s="53" t="e">
        <f>('[1]Свод и выручка Водоканала'!#REF!*L104*'[1]Свод и выручка Водоканала'!#REF!+L104*'[1]Свод и выручка Водоканала'!#REF!*'[1]Свод и выручка Водоканала'!#REF!)/1000/1000*365</f>
        <v>#REF!</v>
      </c>
      <c r="M109" s="53" t="e">
        <f>('[1]Свод и выручка Водоканала'!#REF!*M104*'[1]Свод и выручка Водоканала'!#REF!+M104*'[1]Свод и выручка Водоканала'!#REF!*'[1]Свод и выручка Водоканала'!#REF!)/1000/1000*365</f>
        <v>#REF!</v>
      </c>
      <c r="N109" s="53" t="e">
        <f>('[1]Свод и выручка Водоканала'!#REF!*N104*'[1]Свод и выручка Водоканала'!#REF!+N104*'[1]Свод и выручка Водоканала'!#REF!*'[1]Свод и выручка Водоканала'!#REF!)/1000/1000*365</f>
        <v>#REF!</v>
      </c>
      <c r="O109" s="53" t="e">
        <f>('[1]Свод и выручка Водоканала'!#REF!*O104*'[1]Свод и выручка Водоканала'!#REF!+O104*'[1]Свод и выручка Водоканала'!#REF!*'[1]Свод и выручка Водоканала'!#REF!)/1000/1000*365</f>
        <v>#REF!</v>
      </c>
      <c r="P109" s="53" t="e">
        <f>('[1]Свод и выручка Водоканала'!#REF!*P104*'[1]Свод и выручка Водоканала'!#REF!+P104*'[1]Свод и выручка Водоканала'!#REF!*'[1]Свод и выручка Водоканала'!#REF!)/1000/1000*365</f>
        <v>#REF!</v>
      </c>
      <c r="Q109" s="53" t="e">
        <f>('[1]Свод и выручка Водоканала'!#REF!*Q104*'[1]Свод и выручка Водоканала'!#REF!+Q104*'[1]Свод и выручка Водоканала'!#REF!*'[1]Свод и выручка Водоканала'!#REF!)/1000/1000*365</f>
        <v>#REF!</v>
      </c>
      <c r="R109" s="53" t="e">
        <f>('[1]Свод и выручка Водоканала'!#REF!*R104*'[1]Свод и выручка Водоканала'!#REF!+R104*'[1]Свод и выручка Водоканала'!#REF!*'[1]Свод и выручка Водоканала'!#REF!)/1000/1000*365</f>
        <v>#REF!</v>
      </c>
      <c r="S109" s="53" t="e">
        <f>('[1]Свод и выручка Водоканала'!#REF!*S104*'[1]Свод и выручка Водоканала'!#REF!+S104*'[1]Свод и выручка Водоканала'!#REF!*'[1]Свод и выручка Водоканала'!#REF!)/1000/1000*365</f>
        <v>#REF!</v>
      </c>
    </row>
    <row r="110" spans="1:19" s="33" customFormat="1" hidden="1" x14ac:dyDescent="0.25">
      <c r="A110" s="13" t="s">
        <v>97</v>
      </c>
      <c r="B110" s="40" t="s">
        <v>100</v>
      </c>
      <c r="C110" s="13" t="s">
        <v>88</v>
      </c>
      <c r="D110" s="37"/>
      <c r="E110" s="53" t="e">
        <f>E104*'[1]Свод и выручка Водоканала'!#REF!*'[1]Свод и выручка Водоканала'!#REF!/1000/1000*365</f>
        <v>#REF!</v>
      </c>
      <c r="F110" s="53" t="e">
        <f>F104*'[1]Свод и выручка Водоканала'!#REF!*'[1]Свод и выручка Водоканала'!#REF!/1000/1000*365</f>
        <v>#REF!</v>
      </c>
      <c r="G110" s="53" t="e">
        <f>G104*'[1]Свод и выручка Водоканала'!#REF!*'[1]Свод и выручка Водоканала'!#REF!/1000/1000*365</f>
        <v>#REF!</v>
      </c>
      <c r="H110" s="53" t="e">
        <f>H104*'[1]Свод и выручка Водоканала'!#REF!*'[1]Свод и выручка Водоканала'!#REF!/1000/1000*365</f>
        <v>#REF!</v>
      </c>
      <c r="I110" s="53" t="e">
        <f>I104*'[1]Свод и выручка Водоканала'!#REF!*'[1]Свод и выручка Водоканала'!#REF!/1000/1000*365</f>
        <v>#REF!</v>
      </c>
      <c r="J110" s="53" t="e">
        <f>J104*'[1]Свод и выручка Водоканала'!#REF!*'[1]Свод и выручка Водоканала'!#REF!/1000/1000*365</f>
        <v>#REF!</v>
      </c>
      <c r="K110" s="53" t="e">
        <f>K104*'[1]Свод и выручка Водоканала'!#REF!*'[1]Свод и выручка Водоканала'!#REF!/1000/1000*365</f>
        <v>#REF!</v>
      </c>
      <c r="L110" s="53" t="e">
        <f>L104*'[1]Свод и выручка Водоканала'!#REF!*'[1]Свод и выручка Водоканала'!#REF!/1000/1000*365</f>
        <v>#REF!</v>
      </c>
      <c r="M110" s="53" t="e">
        <f>M104*'[1]Свод и выручка Водоканала'!#REF!*'[1]Свод и выручка Водоканала'!#REF!/1000/1000*365</f>
        <v>#REF!</v>
      </c>
      <c r="N110" s="53" t="e">
        <f>N104*'[1]Свод и выручка Водоканала'!#REF!*'[1]Свод и выручка Водоканала'!#REF!/1000/1000*365</f>
        <v>#REF!</v>
      </c>
      <c r="O110" s="53" t="e">
        <f>O104*'[1]Свод и выручка Водоканала'!#REF!*'[1]Свод и выручка Водоканала'!#REF!/1000/1000*365</f>
        <v>#REF!</v>
      </c>
      <c r="P110" s="53" t="e">
        <f>P104*'[1]Свод и выручка Водоканала'!#REF!*'[1]Свод и выручка Водоканала'!#REF!/1000/1000*365</f>
        <v>#REF!</v>
      </c>
      <c r="Q110" s="53" t="e">
        <f>Q104*'[1]Свод и выручка Водоканала'!#REF!*'[1]Свод и выручка Водоканала'!#REF!/1000/1000*365</f>
        <v>#REF!</v>
      </c>
      <c r="R110" s="53" t="e">
        <f>R104*'[1]Свод и выручка Водоканала'!#REF!*'[1]Свод и выручка Водоканала'!#REF!/1000/1000*365</f>
        <v>#REF!</v>
      </c>
      <c r="S110" s="53" t="e">
        <f>S104*'[1]Свод и выручка Водоканала'!#REF!*'[1]Свод и выручка Водоканала'!#REF!/1000/1000*365</f>
        <v>#REF!</v>
      </c>
    </row>
    <row r="111" spans="1:19" s="33" customFormat="1" hidden="1" x14ac:dyDescent="0.25">
      <c r="A111" s="13" t="s">
        <v>98</v>
      </c>
      <c r="B111" s="40" t="s">
        <v>100</v>
      </c>
      <c r="C111" s="13" t="s">
        <v>88</v>
      </c>
      <c r="D111" s="37"/>
      <c r="E111" s="53" t="e">
        <f>'[1]Свод и выручка Водоканала'!#REF!*E104*'[1]Свод и выручка Водоканала'!#REF!/1000/1000*365</f>
        <v>#REF!</v>
      </c>
      <c r="F111" s="53" t="e">
        <f>'[1]Свод и выручка Водоканала'!#REF!*F104*'[1]Свод и выручка Водоканала'!#REF!/1000/1000*365</f>
        <v>#REF!</v>
      </c>
      <c r="G111" s="53" t="e">
        <f>'[1]Свод и выручка Водоканала'!#REF!*G104*'[1]Свод и выручка Водоканала'!#REF!/1000/1000*365</f>
        <v>#REF!</v>
      </c>
      <c r="H111" s="53" t="e">
        <f>'[1]Свод и выручка Водоканала'!#REF!*H104*'[1]Свод и выручка Водоканала'!#REF!/1000/1000*365</f>
        <v>#REF!</v>
      </c>
      <c r="I111" s="53" t="e">
        <f>'[1]Свод и выручка Водоканала'!#REF!*I104*'[1]Свод и выручка Водоканала'!#REF!/1000/1000*365</f>
        <v>#REF!</v>
      </c>
      <c r="J111" s="53" t="e">
        <f>'[1]Свод и выручка Водоканала'!#REF!*J104*'[1]Свод и выручка Водоканала'!#REF!/1000/1000*365</f>
        <v>#REF!</v>
      </c>
      <c r="K111" s="53" t="e">
        <f>'[1]Свод и выручка Водоканала'!#REF!*K104*'[1]Свод и выручка Водоканала'!#REF!/1000/1000*365</f>
        <v>#REF!</v>
      </c>
      <c r="L111" s="53" t="e">
        <f>'[1]Свод и выручка Водоканала'!#REF!*L104*'[1]Свод и выручка Водоканала'!#REF!/1000/1000*365</f>
        <v>#REF!</v>
      </c>
      <c r="M111" s="53" t="e">
        <f>'[1]Свод и выручка Водоканала'!#REF!*M104*'[1]Свод и выручка Водоканала'!#REF!/1000/1000*365</f>
        <v>#REF!</v>
      </c>
      <c r="N111" s="53" t="e">
        <f>'[1]Свод и выручка Водоканала'!#REF!*N104*'[1]Свод и выручка Водоканала'!#REF!/1000/1000*365</f>
        <v>#REF!</v>
      </c>
      <c r="O111" s="53" t="e">
        <f>'[1]Свод и выручка Водоканала'!#REF!*O104*'[1]Свод и выручка Водоканала'!#REF!/1000/1000*365</f>
        <v>#REF!</v>
      </c>
      <c r="P111" s="53" t="e">
        <f>'[1]Свод и выручка Водоканала'!#REF!*P104*'[1]Свод и выручка Водоканала'!#REF!/1000/1000*365</f>
        <v>#REF!</v>
      </c>
      <c r="Q111" s="53" t="e">
        <f>'[1]Свод и выручка Водоканала'!#REF!*Q104*'[1]Свод и выручка Водоканала'!#REF!/1000/1000*365</f>
        <v>#REF!</v>
      </c>
      <c r="R111" s="53" t="e">
        <f>'[1]Свод и выручка Водоканала'!#REF!*R104*'[1]Свод и выручка Водоканала'!#REF!/1000/1000*365</f>
        <v>#REF!</v>
      </c>
      <c r="S111" s="53" t="e">
        <f>'[1]Свод и выручка Водоканала'!#REF!*S104*'[1]Свод и выручка Водоканала'!#REF!/1000/1000*365</f>
        <v>#REF!</v>
      </c>
    </row>
  </sheetData>
  <mergeCells count="2">
    <mergeCell ref="A21:D21"/>
    <mergeCell ref="A26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80" zoomScaleNormal="80" workbookViewId="0">
      <pane ySplit="3" topLeftCell="A64" activePane="bottomLeft" state="frozen"/>
      <selection pane="bottomLeft" activeCell="E9" sqref="E9"/>
    </sheetView>
  </sheetViews>
  <sheetFormatPr defaultColWidth="7.109375" defaultRowHeight="15.75" x14ac:dyDescent="0.25"/>
  <cols>
    <col min="1" max="1" width="29.77734375" style="4" customWidth="1"/>
    <col min="2" max="2" width="12.88671875" style="4" customWidth="1"/>
    <col min="3" max="3" width="22" style="4" customWidth="1"/>
    <col min="4" max="4" width="23.21875" style="4" customWidth="1"/>
    <col min="5" max="6" width="10.21875" style="4" bestFit="1" customWidth="1"/>
    <col min="7" max="7" width="9.88671875" style="4" bestFit="1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1" t="s">
        <v>101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47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148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6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94.5" x14ac:dyDescent="0.25">
      <c r="A6" s="13" t="s">
        <v>102</v>
      </c>
      <c r="B6" s="13" t="s">
        <v>10</v>
      </c>
      <c r="C6" s="13" t="s">
        <v>103</v>
      </c>
      <c r="D6" s="13" t="s">
        <v>104</v>
      </c>
      <c r="E6" s="14">
        <v>1508.04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</row>
    <row r="7" spans="1:20" ht="110.25" x14ac:dyDescent="0.25">
      <c r="A7" s="13" t="s">
        <v>105</v>
      </c>
      <c r="B7" s="13" t="s">
        <v>10</v>
      </c>
      <c r="C7" s="13" t="s">
        <v>106</v>
      </c>
      <c r="D7" s="13" t="s">
        <v>107</v>
      </c>
      <c r="E7" s="14">
        <v>973.2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"/>
      <c r="T7" s="15"/>
    </row>
    <row r="8" spans="1:20" ht="47.25" x14ac:dyDescent="0.25">
      <c r="A8" s="13" t="s">
        <v>108</v>
      </c>
      <c r="B8" s="13" t="s">
        <v>10</v>
      </c>
      <c r="C8" s="13" t="s">
        <v>109</v>
      </c>
      <c r="D8" s="13" t="s">
        <v>18</v>
      </c>
      <c r="E8" s="14">
        <v>182.94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3"/>
      <c r="T8" s="15"/>
    </row>
    <row r="9" spans="1:20" ht="47.25" x14ac:dyDescent="0.25">
      <c r="A9" s="13" t="s">
        <v>19</v>
      </c>
      <c r="B9" s="13" t="s">
        <v>10</v>
      </c>
      <c r="C9" s="13" t="s">
        <v>110</v>
      </c>
      <c r="D9" s="13" t="s">
        <v>18</v>
      </c>
      <c r="E9" s="16">
        <v>54.1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3"/>
      <c r="T9" s="15"/>
    </row>
    <row r="10" spans="1:20" ht="49.5" customHeight="1" x14ac:dyDescent="0.25">
      <c r="A10" s="13" t="s">
        <v>182</v>
      </c>
      <c r="B10" s="13" t="s">
        <v>10</v>
      </c>
      <c r="C10" s="13" t="s">
        <v>111</v>
      </c>
      <c r="D10" s="13" t="s">
        <v>22</v>
      </c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3"/>
      <c r="T10" s="15"/>
    </row>
    <row r="11" spans="1:20" ht="47.25" x14ac:dyDescent="0.25">
      <c r="A11" s="13" t="s">
        <v>112</v>
      </c>
      <c r="B11" s="13" t="s">
        <v>10</v>
      </c>
      <c r="C11" s="13" t="s">
        <v>113</v>
      </c>
      <c r="D11" s="13" t="s">
        <v>18</v>
      </c>
      <c r="E11" s="14">
        <v>400.15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3"/>
      <c r="T11" s="15"/>
    </row>
    <row r="12" spans="1:20" ht="47.25" x14ac:dyDescent="0.25">
      <c r="A12" s="13" t="s">
        <v>25</v>
      </c>
      <c r="B12" s="13" t="s">
        <v>10</v>
      </c>
      <c r="C12" s="13" t="s">
        <v>114</v>
      </c>
      <c r="D12" s="13" t="s">
        <v>18</v>
      </c>
      <c r="E12" s="16">
        <v>164.5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3"/>
      <c r="T12" s="15"/>
    </row>
    <row r="13" spans="1:20" ht="31.5" x14ac:dyDescent="0.25">
      <c r="A13" s="13" t="s">
        <v>183</v>
      </c>
      <c r="B13" s="13" t="s">
        <v>10</v>
      </c>
      <c r="C13" s="13" t="s">
        <v>115</v>
      </c>
      <c r="D13" s="13" t="s">
        <v>28</v>
      </c>
      <c r="E13" s="16">
        <v>19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3"/>
      <c r="T13" s="15"/>
    </row>
    <row r="14" spans="1:20" ht="47.25" x14ac:dyDescent="0.25">
      <c r="A14" s="13" t="s">
        <v>29</v>
      </c>
      <c r="B14" s="13" t="s">
        <v>10</v>
      </c>
      <c r="C14" s="13" t="s">
        <v>30</v>
      </c>
      <c r="D14" s="13" t="s">
        <v>18</v>
      </c>
      <c r="E14" s="14">
        <v>924.25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3"/>
      <c r="T14" s="15"/>
    </row>
    <row r="15" spans="1:20" ht="53.25" customHeight="1" x14ac:dyDescent="0.25">
      <c r="A15" s="13" t="s">
        <v>31</v>
      </c>
      <c r="B15" s="13" t="s">
        <v>10</v>
      </c>
      <c r="C15" s="13" t="s">
        <v>116</v>
      </c>
      <c r="D15" s="13" t="s">
        <v>18</v>
      </c>
      <c r="E15" s="16">
        <v>754.6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3"/>
      <c r="T15" s="15"/>
    </row>
    <row r="16" spans="1:20" ht="31.5" x14ac:dyDescent="0.25">
      <c r="A16" s="13" t="s">
        <v>184</v>
      </c>
      <c r="B16" s="13" t="s">
        <v>10</v>
      </c>
      <c r="C16" s="13" t="s">
        <v>115</v>
      </c>
      <c r="D16" s="13" t="s">
        <v>28</v>
      </c>
      <c r="E16" s="16">
        <v>25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3"/>
      <c r="T16" s="15"/>
    </row>
    <row r="17" spans="1:20" ht="82.5" customHeight="1" x14ac:dyDescent="0.25">
      <c r="A17" s="17" t="s">
        <v>162</v>
      </c>
      <c r="B17" s="18"/>
      <c r="C17" s="18" t="s">
        <v>145</v>
      </c>
      <c r="D17" s="18" t="s">
        <v>144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47" customHeight="1" x14ac:dyDescent="0.25">
      <c r="A18" s="13" t="s">
        <v>117</v>
      </c>
      <c r="B18" s="13" t="s">
        <v>34</v>
      </c>
      <c r="C18" s="13" t="s">
        <v>356</v>
      </c>
      <c r="D18" s="13" t="s">
        <v>35</v>
      </c>
      <c r="E18" s="114">
        <v>16107.75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0"/>
    </row>
    <row r="19" spans="1:20" ht="173.25" x14ac:dyDescent="0.25">
      <c r="A19" s="13" t="s">
        <v>118</v>
      </c>
      <c r="B19" s="13" t="s">
        <v>34</v>
      </c>
      <c r="C19" s="13" t="s">
        <v>357</v>
      </c>
      <c r="D19" s="13" t="s">
        <v>35</v>
      </c>
      <c r="E19" s="21">
        <v>6152.57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0"/>
    </row>
    <row r="20" spans="1:20" ht="173.25" x14ac:dyDescent="0.25">
      <c r="A20" s="13" t="s">
        <v>119</v>
      </c>
      <c r="B20" s="13" t="s">
        <v>34</v>
      </c>
      <c r="C20" s="13" t="s">
        <v>358</v>
      </c>
      <c r="D20" s="13" t="s">
        <v>35</v>
      </c>
      <c r="E20" s="114">
        <v>3818.16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0"/>
    </row>
    <row r="21" spans="1:20" x14ac:dyDescent="0.25">
      <c r="A21" s="54" t="s">
        <v>38</v>
      </c>
      <c r="B21" s="55"/>
      <c r="C21" s="55"/>
      <c r="D21" s="56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47.25" x14ac:dyDescent="0.25">
      <c r="A22" s="13" t="s">
        <v>39</v>
      </c>
      <c r="B22" s="13" t="s">
        <v>40</v>
      </c>
      <c r="C22" s="13" t="s">
        <v>146</v>
      </c>
      <c r="D22" s="13" t="s">
        <v>41</v>
      </c>
      <c r="E22" s="21">
        <v>1.83</v>
      </c>
      <c r="F22" s="16"/>
      <c r="G22" s="16"/>
      <c r="H22" s="16"/>
      <c r="I22" s="16"/>
      <c r="J22" s="16"/>
      <c r="K22" s="16"/>
      <c r="L22" s="16"/>
      <c r="M22" s="16"/>
      <c r="N22" s="16"/>
      <c r="O22" s="22"/>
      <c r="P22" s="22"/>
      <c r="Q22" s="22"/>
      <c r="R22" s="22"/>
      <c r="S22" s="22"/>
      <c r="T22" s="3"/>
    </row>
    <row r="23" spans="1:20" ht="95.25" customHeight="1" x14ac:dyDescent="0.25">
      <c r="A23" s="13" t="s">
        <v>42</v>
      </c>
      <c r="B23" s="13" t="s">
        <v>40</v>
      </c>
      <c r="C23" s="13" t="s">
        <v>43</v>
      </c>
      <c r="D23" s="13" t="s">
        <v>44</v>
      </c>
      <c r="E23" s="21">
        <v>1.0900000000000001</v>
      </c>
      <c r="F23" s="16"/>
      <c r="G23" s="16"/>
      <c r="H23" s="16"/>
      <c r="I23" s="16"/>
      <c r="J23" s="16"/>
      <c r="K23" s="16"/>
      <c r="L23" s="16"/>
      <c r="M23" s="16"/>
      <c r="N23" s="16"/>
      <c r="O23" s="22"/>
      <c r="P23" s="22"/>
      <c r="Q23" s="22"/>
      <c r="R23" s="22"/>
      <c r="S23" s="22"/>
      <c r="T23" s="3"/>
    </row>
    <row r="24" spans="1:20" ht="84" customHeight="1" x14ac:dyDescent="0.25">
      <c r="A24" s="13" t="s">
        <v>45</v>
      </c>
      <c r="B24" s="13" t="s">
        <v>40</v>
      </c>
      <c r="C24" s="13" t="s">
        <v>46</v>
      </c>
      <c r="D24" s="13" t="s">
        <v>47</v>
      </c>
      <c r="E24" s="21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22"/>
      <c r="P24" s="22"/>
      <c r="Q24" s="22"/>
      <c r="R24" s="22"/>
      <c r="S24" s="22"/>
      <c r="T24" s="3"/>
    </row>
    <row r="25" spans="1:20" ht="66" customHeight="1" x14ac:dyDescent="0.25">
      <c r="A25" s="13" t="s">
        <v>345</v>
      </c>
      <c r="B25" s="13" t="s">
        <v>40</v>
      </c>
      <c r="C25" s="13" t="s">
        <v>173</v>
      </c>
      <c r="D25" s="13" t="s">
        <v>41</v>
      </c>
      <c r="E25" s="21">
        <v>1.0900000000000001</v>
      </c>
      <c r="F25" s="16"/>
      <c r="G25" s="16"/>
      <c r="H25" s="16"/>
      <c r="I25" s="16"/>
      <c r="J25" s="16"/>
      <c r="K25" s="16"/>
      <c r="L25" s="16"/>
      <c r="M25" s="16"/>
      <c r="N25" s="16"/>
      <c r="O25" s="22"/>
      <c r="P25" s="22"/>
      <c r="Q25" s="22"/>
      <c r="R25" s="22"/>
      <c r="S25" s="22"/>
      <c r="T25" s="3"/>
    </row>
    <row r="26" spans="1:20" ht="15.75" customHeight="1" x14ac:dyDescent="0.25">
      <c r="A26" s="115" t="s">
        <v>199</v>
      </c>
      <c r="B26" s="116"/>
      <c r="C26" s="116"/>
      <c r="D26" s="116"/>
      <c r="E26" s="116"/>
      <c r="F26" s="116"/>
      <c r="G26" s="116"/>
      <c r="H26" s="116"/>
      <c r="I26" s="117"/>
      <c r="J26" s="19"/>
      <c r="K26" s="19"/>
      <c r="L26" s="19"/>
      <c r="M26" s="19"/>
      <c r="N26" s="19"/>
      <c r="O26" s="12"/>
      <c r="P26" s="12"/>
      <c r="Q26" s="12"/>
      <c r="R26" s="12"/>
      <c r="S26" s="12"/>
      <c r="T26" s="12"/>
    </row>
    <row r="27" spans="1:20" ht="79.5" customHeight="1" x14ac:dyDescent="0.25">
      <c r="A27" s="13" t="s">
        <v>120</v>
      </c>
      <c r="B27" s="13" t="s">
        <v>40</v>
      </c>
      <c r="C27" s="13" t="s">
        <v>49</v>
      </c>
      <c r="D27" s="13" t="s">
        <v>50</v>
      </c>
      <c r="E27" s="21">
        <v>0.97</v>
      </c>
      <c r="F27" s="16"/>
      <c r="G27" s="16"/>
      <c r="H27" s="16"/>
      <c r="I27" s="16"/>
      <c r="J27" s="16"/>
      <c r="K27" s="16"/>
      <c r="L27" s="16"/>
      <c r="M27" s="16"/>
      <c r="N27" s="16"/>
      <c r="O27" s="22"/>
      <c r="P27" s="22"/>
      <c r="Q27" s="22"/>
      <c r="R27" s="22"/>
      <c r="S27" s="22"/>
      <c r="T27" s="3"/>
    </row>
    <row r="28" spans="1:20" ht="78.75" customHeight="1" x14ac:dyDescent="0.25">
      <c r="A28" s="13" t="s">
        <v>51</v>
      </c>
      <c r="B28" s="13" t="s">
        <v>40</v>
      </c>
      <c r="C28" s="13" t="s">
        <v>52</v>
      </c>
      <c r="D28" s="13" t="s">
        <v>53</v>
      </c>
      <c r="E28" s="21">
        <v>1.01</v>
      </c>
      <c r="F28" s="16"/>
      <c r="G28" s="16"/>
      <c r="H28" s="16"/>
      <c r="I28" s="16"/>
      <c r="J28" s="16"/>
      <c r="K28" s="16"/>
      <c r="L28" s="16"/>
      <c r="M28" s="16"/>
      <c r="N28" s="16"/>
      <c r="O28" s="22"/>
      <c r="P28" s="22"/>
      <c r="Q28" s="22"/>
      <c r="R28" s="22"/>
      <c r="S28" s="22"/>
      <c r="T28" s="3"/>
    </row>
    <row r="29" spans="1:20" ht="170.25" customHeight="1" x14ac:dyDescent="0.25">
      <c r="A29" s="13" t="s">
        <v>54</v>
      </c>
      <c r="B29" s="13" t="s">
        <v>40</v>
      </c>
      <c r="C29" s="13" t="s">
        <v>55</v>
      </c>
      <c r="D29" s="13" t="s">
        <v>56</v>
      </c>
      <c r="E29" s="21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22"/>
      <c r="P29" s="22"/>
      <c r="Q29" s="22"/>
      <c r="R29" s="22"/>
      <c r="S29" s="22"/>
      <c r="T29" s="3"/>
    </row>
    <row r="30" spans="1:20" ht="15.75" customHeight="1" x14ac:dyDescent="0.25">
      <c r="A30" s="23" t="s">
        <v>57</v>
      </c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26" x14ac:dyDescent="0.25">
      <c r="A31" s="26" t="s">
        <v>121</v>
      </c>
      <c r="B31" s="13" t="s">
        <v>10</v>
      </c>
      <c r="C31" s="13" t="s">
        <v>351</v>
      </c>
      <c r="D31" s="13" t="s">
        <v>352</v>
      </c>
      <c r="E31" s="27"/>
      <c r="F31" s="14">
        <f>F33+F36+F39</f>
        <v>1510.6971428571428</v>
      </c>
      <c r="G31" s="14">
        <f t="shared" ref="G31:S31" si="0">G33+G36+G39</f>
        <v>1514.0542857142857</v>
      </c>
      <c r="H31" s="14">
        <f t="shared" si="0"/>
        <v>1517.4114285714286</v>
      </c>
      <c r="I31" s="14">
        <f t="shared" si="0"/>
        <v>1520.7685714285715</v>
      </c>
      <c r="J31" s="14">
        <f t="shared" si="0"/>
        <v>1524.1257142857144</v>
      </c>
      <c r="K31" s="14">
        <f t="shared" si="0"/>
        <v>1527.4828571428573</v>
      </c>
      <c r="L31" s="14">
        <f t="shared" si="0"/>
        <v>1530.8400000000001</v>
      </c>
      <c r="M31" s="14">
        <f t="shared" si="0"/>
        <v>1534.197142857143</v>
      </c>
      <c r="N31" s="14">
        <f t="shared" si="0"/>
        <v>1537.5542857142859</v>
      </c>
      <c r="O31" s="14">
        <f t="shared" si="0"/>
        <v>1540.9114285714288</v>
      </c>
      <c r="P31" s="14">
        <f t="shared" si="0"/>
        <v>1544.2685714285717</v>
      </c>
      <c r="Q31" s="14">
        <f t="shared" si="0"/>
        <v>1547.6257142857146</v>
      </c>
      <c r="R31" s="14">
        <f t="shared" si="0"/>
        <v>1550.9828571428575</v>
      </c>
      <c r="S31" s="14">
        <f t="shared" si="0"/>
        <v>1554.3400000000004</v>
      </c>
      <c r="T31" s="28">
        <f>E6+E10+E13+E16</f>
        <v>1555.04</v>
      </c>
    </row>
    <row r="32" spans="1:20" ht="66" customHeight="1" x14ac:dyDescent="0.25">
      <c r="A32" s="26" t="s">
        <v>122</v>
      </c>
      <c r="B32" s="13" t="s">
        <v>10</v>
      </c>
      <c r="C32" s="13" t="s">
        <v>62</v>
      </c>
      <c r="D32" s="13" t="s">
        <v>62</v>
      </c>
      <c r="E32" s="27"/>
      <c r="F32" s="14">
        <f>$E$7-F34-F37-F40</f>
        <v>903.68571428571431</v>
      </c>
      <c r="G32" s="14">
        <f>F32-F34-F37-F40</f>
        <v>834.17142857142858</v>
      </c>
      <c r="H32" s="14">
        <f t="shared" ref="H32:S32" si="1">G32-G34-G37-G40</f>
        <v>764.65714285714284</v>
      </c>
      <c r="I32" s="14">
        <f t="shared" si="1"/>
        <v>695.14285714285711</v>
      </c>
      <c r="J32" s="14">
        <f t="shared" si="1"/>
        <v>625.62857142857138</v>
      </c>
      <c r="K32" s="14">
        <f t="shared" si="1"/>
        <v>556.11428571428564</v>
      </c>
      <c r="L32" s="14">
        <f t="shared" si="1"/>
        <v>486.59999999999991</v>
      </c>
      <c r="M32" s="14">
        <f t="shared" si="1"/>
        <v>417.08571428571423</v>
      </c>
      <c r="N32" s="14">
        <f t="shared" si="1"/>
        <v>347.57142857142856</v>
      </c>
      <c r="O32" s="14">
        <f t="shared" si="1"/>
        <v>278.05714285714288</v>
      </c>
      <c r="P32" s="14">
        <f t="shared" si="1"/>
        <v>208.54285714285717</v>
      </c>
      <c r="Q32" s="14">
        <f t="shared" si="1"/>
        <v>139.02857142857144</v>
      </c>
      <c r="R32" s="14">
        <f t="shared" si="1"/>
        <v>69.514285714285705</v>
      </c>
      <c r="S32" s="14">
        <f t="shared" si="1"/>
        <v>0</v>
      </c>
      <c r="T32" s="28">
        <f>S32</f>
        <v>0</v>
      </c>
    </row>
    <row r="33" spans="1:21" ht="31.5" x14ac:dyDescent="0.25">
      <c r="A33" s="13" t="s">
        <v>123</v>
      </c>
      <c r="B33" s="13" t="s">
        <v>10</v>
      </c>
      <c r="C33" s="13" t="s">
        <v>62</v>
      </c>
      <c r="D33" s="13" t="s">
        <v>62</v>
      </c>
      <c r="E33" s="27"/>
      <c r="F33" s="14">
        <f>E8+E10/14</f>
        <v>183.15428571428572</v>
      </c>
      <c r="G33" s="14">
        <f>F33+F35</f>
        <v>183.36857142857144</v>
      </c>
      <c r="H33" s="14">
        <f>G33+G35</f>
        <v>183.58285714285716</v>
      </c>
      <c r="I33" s="14">
        <f>H33+H35</f>
        <v>183.79714285714289</v>
      </c>
      <c r="J33" s="14">
        <f t="shared" ref="J33:S33" si="2">I33+I35</f>
        <v>184.01142857142861</v>
      </c>
      <c r="K33" s="14">
        <f t="shared" si="2"/>
        <v>184.22571428571433</v>
      </c>
      <c r="L33" s="14">
        <f t="shared" si="2"/>
        <v>184.44000000000005</v>
      </c>
      <c r="M33" s="14">
        <f t="shared" si="2"/>
        <v>184.65428571428578</v>
      </c>
      <c r="N33" s="14">
        <f t="shared" si="2"/>
        <v>184.8685714285715</v>
      </c>
      <c r="O33" s="14">
        <f t="shared" si="2"/>
        <v>185.08285714285722</v>
      </c>
      <c r="P33" s="14">
        <f t="shared" si="2"/>
        <v>185.29714285714294</v>
      </c>
      <c r="Q33" s="14">
        <f t="shared" si="2"/>
        <v>185.51142857142867</v>
      </c>
      <c r="R33" s="14">
        <f t="shared" si="2"/>
        <v>185.72571428571439</v>
      </c>
      <c r="S33" s="14">
        <f t="shared" si="2"/>
        <v>185.94000000000011</v>
      </c>
      <c r="T33" s="28">
        <f>E8+E10</f>
        <v>185.94</v>
      </c>
    </row>
    <row r="34" spans="1:21" ht="47.25" x14ac:dyDescent="0.25">
      <c r="A34" s="13" t="s">
        <v>64</v>
      </c>
      <c r="B34" s="13" t="s">
        <v>10</v>
      </c>
      <c r="C34" s="13" t="s">
        <v>62</v>
      </c>
      <c r="D34" s="13" t="s">
        <v>62</v>
      </c>
      <c r="E34" s="29"/>
      <c r="F34" s="14">
        <f>$E$9/14</f>
        <v>3.8642857142857143</v>
      </c>
      <c r="G34" s="14">
        <f t="shared" ref="G34:S34" si="3">$E$9/14</f>
        <v>3.8642857142857143</v>
      </c>
      <c r="H34" s="14">
        <f t="shared" si="3"/>
        <v>3.8642857142857143</v>
      </c>
      <c r="I34" s="14">
        <f t="shared" si="3"/>
        <v>3.8642857142857143</v>
      </c>
      <c r="J34" s="14">
        <f t="shared" si="3"/>
        <v>3.8642857142857143</v>
      </c>
      <c r="K34" s="14">
        <f t="shared" si="3"/>
        <v>3.8642857142857143</v>
      </c>
      <c r="L34" s="14">
        <f t="shared" si="3"/>
        <v>3.8642857142857143</v>
      </c>
      <c r="M34" s="14">
        <f t="shared" si="3"/>
        <v>3.8642857142857143</v>
      </c>
      <c r="N34" s="14">
        <f t="shared" si="3"/>
        <v>3.8642857142857143</v>
      </c>
      <c r="O34" s="14">
        <f t="shared" si="3"/>
        <v>3.8642857142857143</v>
      </c>
      <c r="P34" s="14">
        <f t="shared" si="3"/>
        <v>3.8642857142857143</v>
      </c>
      <c r="Q34" s="14">
        <f t="shared" si="3"/>
        <v>3.8642857142857143</v>
      </c>
      <c r="R34" s="14">
        <f t="shared" si="3"/>
        <v>3.8642857142857143</v>
      </c>
      <c r="S34" s="14">
        <f t="shared" si="3"/>
        <v>3.8642857142857143</v>
      </c>
      <c r="T34" s="28">
        <f>SUM(F34:S34)</f>
        <v>54.1</v>
      </c>
    </row>
    <row r="35" spans="1:21" ht="31.5" x14ac:dyDescent="0.25">
      <c r="A35" s="13" t="s">
        <v>185</v>
      </c>
      <c r="B35" s="13" t="s">
        <v>10</v>
      </c>
      <c r="C35" s="13" t="s">
        <v>62</v>
      </c>
      <c r="D35" s="13" t="s">
        <v>62</v>
      </c>
      <c r="E35" s="29"/>
      <c r="F35" s="16">
        <f>$E$10/14</f>
        <v>0.21428571428571427</v>
      </c>
      <c r="G35" s="16">
        <f t="shared" ref="G35:S35" si="4">$E$10/14</f>
        <v>0.21428571428571427</v>
      </c>
      <c r="H35" s="16">
        <f t="shared" si="4"/>
        <v>0.21428571428571427</v>
      </c>
      <c r="I35" s="16">
        <f t="shared" si="4"/>
        <v>0.21428571428571427</v>
      </c>
      <c r="J35" s="16">
        <f t="shared" si="4"/>
        <v>0.21428571428571427</v>
      </c>
      <c r="K35" s="16">
        <f t="shared" si="4"/>
        <v>0.21428571428571427</v>
      </c>
      <c r="L35" s="16">
        <f t="shared" si="4"/>
        <v>0.21428571428571427</v>
      </c>
      <c r="M35" s="16">
        <f t="shared" si="4"/>
        <v>0.21428571428571427</v>
      </c>
      <c r="N35" s="16">
        <f t="shared" si="4"/>
        <v>0.21428571428571427</v>
      </c>
      <c r="O35" s="16">
        <f t="shared" si="4"/>
        <v>0.21428571428571427</v>
      </c>
      <c r="P35" s="16">
        <f t="shared" si="4"/>
        <v>0.21428571428571427</v>
      </c>
      <c r="Q35" s="16">
        <f t="shared" si="4"/>
        <v>0.21428571428571427</v>
      </c>
      <c r="R35" s="16">
        <f t="shared" si="4"/>
        <v>0.21428571428571427</v>
      </c>
      <c r="S35" s="16">
        <f t="shared" si="4"/>
        <v>0.21428571428571427</v>
      </c>
      <c r="T35" s="20">
        <f>SUM(F35:S35)</f>
        <v>3</v>
      </c>
      <c r="U35" s="30"/>
    </row>
    <row r="36" spans="1:21" ht="47.25" x14ac:dyDescent="0.25">
      <c r="A36" s="13" t="s">
        <v>124</v>
      </c>
      <c r="B36" s="13" t="s">
        <v>10</v>
      </c>
      <c r="C36" s="13" t="s">
        <v>62</v>
      </c>
      <c r="D36" s="13" t="s">
        <v>62</v>
      </c>
      <c r="E36" s="27"/>
      <c r="F36" s="16">
        <f>E11+E13/14</f>
        <v>401.50714285714281</v>
      </c>
      <c r="G36" s="16">
        <f>F36+F38</f>
        <v>402.86428571428564</v>
      </c>
      <c r="H36" s="16">
        <f>G36+G38</f>
        <v>404.22142857142848</v>
      </c>
      <c r="I36" s="16">
        <f t="shared" ref="I36:S36" si="5">H36+H38</f>
        <v>405.57857142857131</v>
      </c>
      <c r="J36" s="16">
        <f t="shared" si="5"/>
        <v>406.93571428571414</v>
      </c>
      <c r="K36" s="16">
        <f t="shared" si="5"/>
        <v>408.29285714285697</v>
      </c>
      <c r="L36" s="16">
        <f t="shared" si="5"/>
        <v>409.64999999999981</v>
      </c>
      <c r="M36" s="16">
        <f t="shared" si="5"/>
        <v>411.00714285714264</v>
      </c>
      <c r="N36" s="16">
        <f t="shared" si="5"/>
        <v>412.36428571428547</v>
      </c>
      <c r="O36" s="16">
        <f t="shared" si="5"/>
        <v>413.72142857142831</v>
      </c>
      <c r="P36" s="16">
        <f t="shared" si="5"/>
        <v>415.07857142857114</v>
      </c>
      <c r="Q36" s="16">
        <f t="shared" si="5"/>
        <v>416.43571428571397</v>
      </c>
      <c r="R36" s="16">
        <f t="shared" si="5"/>
        <v>417.7928571428568</v>
      </c>
      <c r="S36" s="16">
        <f t="shared" si="5"/>
        <v>419.14999999999964</v>
      </c>
      <c r="T36" s="20">
        <f>E11+E13</f>
        <v>419.15</v>
      </c>
    </row>
    <row r="37" spans="1:21" ht="47.25" x14ac:dyDescent="0.25">
      <c r="A37" s="13" t="s">
        <v>66</v>
      </c>
      <c r="B37" s="13" t="s">
        <v>10</v>
      </c>
      <c r="C37" s="13" t="s">
        <v>62</v>
      </c>
      <c r="D37" s="13" t="s">
        <v>62</v>
      </c>
      <c r="E37" s="29"/>
      <c r="F37" s="16">
        <f>$E$12/14</f>
        <v>11.75</v>
      </c>
      <c r="G37" s="16">
        <f t="shared" ref="G37:S37" si="6">$E$12/14</f>
        <v>11.75</v>
      </c>
      <c r="H37" s="16">
        <f t="shared" si="6"/>
        <v>11.75</v>
      </c>
      <c r="I37" s="16">
        <f t="shared" si="6"/>
        <v>11.75</v>
      </c>
      <c r="J37" s="16">
        <f t="shared" si="6"/>
        <v>11.75</v>
      </c>
      <c r="K37" s="16">
        <f t="shared" si="6"/>
        <v>11.75</v>
      </c>
      <c r="L37" s="16">
        <f t="shared" si="6"/>
        <v>11.75</v>
      </c>
      <c r="M37" s="16">
        <f t="shared" si="6"/>
        <v>11.75</v>
      </c>
      <c r="N37" s="16">
        <f t="shared" si="6"/>
        <v>11.75</v>
      </c>
      <c r="O37" s="16">
        <f t="shared" si="6"/>
        <v>11.75</v>
      </c>
      <c r="P37" s="16">
        <f t="shared" si="6"/>
        <v>11.75</v>
      </c>
      <c r="Q37" s="16">
        <f t="shared" si="6"/>
        <v>11.75</v>
      </c>
      <c r="R37" s="16">
        <f t="shared" si="6"/>
        <v>11.75</v>
      </c>
      <c r="S37" s="16">
        <f t="shared" si="6"/>
        <v>11.75</v>
      </c>
      <c r="T37" s="20">
        <f>SUM(F37:S37)</f>
        <v>164.5</v>
      </c>
    </row>
    <row r="38" spans="1:21" ht="31.5" x14ac:dyDescent="0.25">
      <c r="A38" s="13" t="s">
        <v>186</v>
      </c>
      <c r="B38" s="13" t="s">
        <v>10</v>
      </c>
      <c r="C38" s="13" t="s">
        <v>62</v>
      </c>
      <c r="D38" s="13" t="s">
        <v>62</v>
      </c>
      <c r="E38" s="29"/>
      <c r="F38" s="16">
        <f>$E$13/14</f>
        <v>1.3571428571428572</v>
      </c>
      <c r="G38" s="16">
        <f t="shared" ref="G38:S38" si="7">$E$13/14</f>
        <v>1.3571428571428572</v>
      </c>
      <c r="H38" s="16">
        <f t="shared" si="7"/>
        <v>1.3571428571428572</v>
      </c>
      <c r="I38" s="16">
        <f t="shared" si="7"/>
        <v>1.3571428571428572</v>
      </c>
      <c r="J38" s="16">
        <f t="shared" si="7"/>
        <v>1.3571428571428572</v>
      </c>
      <c r="K38" s="16">
        <f t="shared" si="7"/>
        <v>1.3571428571428572</v>
      </c>
      <c r="L38" s="16">
        <f t="shared" si="7"/>
        <v>1.3571428571428572</v>
      </c>
      <c r="M38" s="16">
        <f t="shared" si="7"/>
        <v>1.3571428571428572</v>
      </c>
      <c r="N38" s="16">
        <f t="shared" si="7"/>
        <v>1.3571428571428572</v>
      </c>
      <c r="O38" s="16">
        <f t="shared" si="7"/>
        <v>1.3571428571428572</v>
      </c>
      <c r="P38" s="16">
        <f t="shared" si="7"/>
        <v>1.3571428571428572</v>
      </c>
      <c r="Q38" s="16">
        <f t="shared" si="7"/>
        <v>1.3571428571428572</v>
      </c>
      <c r="R38" s="16">
        <f t="shared" si="7"/>
        <v>1.3571428571428572</v>
      </c>
      <c r="S38" s="16">
        <f t="shared" si="7"/>
        <v>1.3571428571428572</v>
      </c>
      <c r="T38" s="20">
        <f>SUM(F38:S38)</f>
        <v>19.000000000000004</v>
      </c>
    </row>
    <row r="39" spans="1:21" ht="63" x14ac:dyDescent="0.25">
      <c r="A39" s="13" t="s">
        <v>125</v>
      </c>
      <c r="B39" s="13" t="s">
        <v>10</v>
      </c>
      <c r="C39" s="13" t="s">
        <v>62</v>
      </c>
      <c r="D39" s="13" t="s">
        <v>62</v>
      </c>
      <c r="E39" s="27"/>
      <c r="F39" s="16">
        <f>E14+E16/14</f>
        <v>926.03571428571433</v>
      </c>
      <c r="G39" s="16">
        <f>F39+F41</f>
        <v>927.82142857142867</v>
      </c>
      <c r="H39" s="16">
        <f t="shared" ref="H39:S39" si="8">G39+G41</f>
        <v>929.607142857143</v>
      </c>
      <c r="I39" s="16">
        <f t="shared" si="8"/>
        <v>931.39285714285734</v>
      </c>
      <c r="J39" s="16">
        <f t="shared" si="8"/>
        <v>933.17857142857167</v>
      </c>
      <c r="K39" s="16">
        <f t="shared" si="8"/>
        <v>934.96428571428601</v>
      </c>
      <c r="L39" s="16">
        <f t="shared" si="8"/>
        <v>936.75000000000034</v>
      </c>
      <c r="M39" s="16">
        <f t="shared" si="8"/>
        <v>938.53571428571468</v>
      </c>
      <c r="N39" s="16">
        <f t="shared" si="8"/>
        <v>940.32142857142901</v>
      </c>
      <c r="O39" s="16">
        <f t="shared" si="8"/>
        <v>942.10714285714334</v>
      </c>
      <c r="P39" s="16">
        <f t="shared" si="8"/>
        <v>943.89285714285768</v>
      </c>
      <c r="Q39" s="16">
        <f t="shared" si="8"/>
        <v>945.67857142857201</v>
      </c>
      <c r="R39" s="16">
        <f t="shared" si="8"/>
        <v>947.46428571428635</v>
      </c>
      <c r="S39" s="16">
        <f t="shared" si="8"/>
        <v>949.25000000000068</v>
      </c>
      <c r="T39" s="20">
        <f>E14+E16</f>
        <v>949.25</v>
      </c>
    </row>
    <row r="40" spans="1:21" ht="53.25" customHeight="1" x14ac:dyDescent="0.25">
      <c r="A40" s="13" t="s">
        <v>68</v>
      </c>
      <c r="B40" s="13" t="s">
        <v>10</v>
      </c>
      <c r="C40" s="13" t="s">
        <v>62</v>
      </c>
      <c r="D40" s="13" t="s">
        <v>62</v>
      </c>
      <c r="E40" s="29"/>
      <c r="F40" s="16">
        <f>$E$15/14</f>
        <v>53.9</v>
      </c>
      <c r="G40" s="16">
        <f t="shared" ref="G40:S40" si="9">$E$15/14</f>
        <v>53.9</v>
      </c>
      <c r="H40" s="16">
        <f t="shared" si="9"/>
        <v>53.9</v>
      </c>
      <c r="I40" s="16">
        <f t="shared" si="9"/>
        <v>53.9</v>
      </c>
      <c r="J40" s="16">
        <f t="shared" si="9"/>
        <v>53.9</v>
      </c>
      <c r="K40" s="16">
        <f t="shared" si="9"/>
        <v>53.9</v>
      </c>
      <c r="L40" s="16">
        <f t="shared" si="9"/>
        <v>53.9</v>
      </c>
      <c r="M40" s="16">
        <f t="shared" si="9"/>
        <v>53.9</v>
      </c>
      <c r="N40" s="16">
        <f t="shared" si="9"/>
        <v>53.9</v>
      </c>
      <c r="O40" s="16">
        <f t="shared" si="9"/>
        <v>53.9</v>
      </c>
      <c r="P40" s="16">
        <f t="shared" si="9"/>
        <v>53.9</v>
      </c>
      <c r="Q40" s="16">
        <f t="shared" si="9"/>
        <v>53.9</v>
      </c>
      <c r="R40" s="16">
        <f t="shared" si="9"/>
        <v>53.9</v>
      </c>
      <c r="S40" s="16">
        <f t="shared" si="9"/>
        <v>53.9</v>
      </c>
      <c r="T40" s="20">
        <f>SUM(F40:S40)</f>
        <v>754.5999999999998</v>
      </c>
    </row>
    <row r="41" spans="1:21" ht="31.5" x14ac:dyDescent="0.25">
      <c r="A41" s="13" t="s">
        <v>187</v>
      </c>
      <c r="B41" s="13"/>
      <c r="C41" s="13" t="s">
        <v>62</v>
      </c>
      <c r="D41" s="13" t="s">
        <v>62</v>
      </c>
      <c r="E41" s="29"/>
      <c r="F41" s="16">
        <f>$E$16/14</f>
        <v>1.7857142857142858</v>
      </c>
      <c r="G41" s="16">
        <f t="shared" ref="G41:S41" si="10">$E$16/14</f>
        <v>1.7857142857142858</v>
      </c>
      <c r="H41" s="16">
        <f t="shared" si="10"/>
        <v>1.7857142857142858</v>
      </c>
      <c r="I41" s="16">
        <f t="shared" si="10"/>
        <v>1.7857142857142858</v>
      </c>
      <c r="J41" s="16">
        <f t="shared" si="10"/>
        <v>1.7857142857142858</v>
      </c>
      <c r="K41" s="16">
        <f t="shared" si="10"/>
        <v>1.7857142857142858</v>
      </c>
      <c r="L41" s="16">
        <f t="shared" si="10"/>
        <v>1.7857142857142858</v>
      </c>
      <c r="M41" s="16">
        <f t="shared" si="10"/>
        <v>1.7857142857142858</v>
      </c>
      <c r="N41" s="16">
        <f t="shared" si="10"/>
        <v>1.7857142857142858</v>
      </c>
      <c r="O41" s="16">
        <f t="shared" si="10"/>
        <v>1.7857142857142858</v>
      </c>
      <c r="P41" s="16">
        <f t="shared" si="10"/>
        <v>1.7857142857142858</v>
      </c>
      <c r="Q41" s="16">
        <f t="shared" si="10"/>
        <v>1.7857142857142858</v>
      </c>
      <c r="R41" s="16">
        <f t="shared" si="10"/>
        <v>1.7857142857142858</v>
      </c>
      <c r="S41" s="16">
        <f t="shared" si="10"/>
        <v>1.7857142857142858</v>
      </c>
      <c r="T41" s="20">
        <f>SUM(F41:S41)</f>
        <v>24.999999999999996</v>
      </c>
    </row>
    <row r="42" spans="1:21" s="33" customFormat="1" ht="31.5" x14ac:dyDescent="0.25">
      <c r="A42" s="7" t="s">
        <v>69</v>
      </c>
      <c r="B42" s="31"/>
      <c r="C42" s="31"/>
      <c r="D42" s="31"/>
      <c r="E42" s="31" t="s">
        <v>70</v>
      </c>
      <c r="F42" s="32">
        <v>2022</v>
      </c>
      <c r="G42" s="32">
        <v>2023</v>
      </c>
      <c r="H42" s="32">
        <v>2024</v>
      </c>
      <c r="I42" s="32">
        <v>2025</v>
      </c>
      <c r="J42" s="32">
        <v>2026</v>
      </c>
      <c r="K42" s="32">
        <v>2027</v>
      </c>
      <c r="L42" s="32">
        <v>2028</v>
      </c>
      <c r="M42" s="32">
        <v>2029</v>
      </c>
      <c r="N42" s="32">
        <v>2030</v>
      </c>
      <c r="O42" s="32">
        <v>2031</v>
      </c>
      <c r="P42" s="32">
        <v>2032</v>
      </c>
      <c r="Q42" s="32">
        <v>2033</v>
      </c>
      <c r="R42" s="32">
        <v>2034</v>
      </c>
      <c r="S42" s="32">
        <v>2035</v>
      </c>
      <c r="T42" s="32" t="s">
        <v>6</v>
      </c>
    </row>
    <row r="43" spans="1:21" s="33" customFormat="1" ht="103.5" customHeight="1" x14ac:dyDescent="0.25">
      <c r="A43" s="34" t="s">
        <v>324</v>
      </c>
      <c r="B43" s="34" t="s">
        <v>71</v>
      </c>
      <c r="C43" s="34" t="s">
        <v>72</v>
      </c>
      <c r="D43" s="34" t="s">
        <v>73</v>
      </c>
      <c r="E43" s="35">
        <f>(E9*E18)+(E12*E19)+(E15*E20)</f>
        <v>4764710.5759999994</v>
      </c>
      <c r="F43" s="35">
        <f>F34*$E$18+F37*$E$19+F40*$E$20</f>
        <v>340336.46971428569</v>
      </c>
      <c r="G43" s="35">
        <f t="shared" ref="G43:S44" si="11">G34*$E$18+G37*$E$19+G40*$E$20</f>
        <v>340336.46971428569</v>
      </c>
      <c r="H43" s="35">
        <f t="shared" si="11"/>
        <v>340336.46971428569</v>
      </c>
      <c r="I43" s="35">
        <f t="shared" si="11"/>
        <v>340336.46971428569</v>
      </c>
      <c r="J43" s="35">
        <f t="shared" si="11"/>
        <v>340336.46971428569</v>
      </c>
      <c r="K43" s="35">
        <f t="shared" si="11"/>
        <v>340336.46971428569</v>
      </c>
      <c r="L43" s="35">
        <f t="shared" si="11"/>
        <v>340336.46971428569</v>
      </c>
      <c r="M43" s="35">
        <f t="shared" si="11"/>
        <v>340336.46971428569</v>
      </c>
      <c r="N43" s="35">
        <f t="shared" si="11"/>
        <v>340336.46971428569</v>
      </c>
      <c r="O43" s="35">
        <f t="shared" si="11"/>
        <v>340336.46971428569</v>
      </c>
      <c r="P43" s="35">
        <f t="shared" si="11"/>
        <v>340336.46971428569</v>
      </c>
      <c r="Q43" s="35">
        <f t="shared" si="11"/>
        <v>340336.46971428569</v>
      </c>
      <c r="R43" s="35">
        <f t="shared" si="11"/>
        <v>340336.46971428569</v>
      </c>
      <c r="S43" s="35">
        <f t="shared" si="11"/>
        <v>340336.46971428569</v>
      </c>
      <c r="T43" s="36">
        <f>SUM(F43:S43)</f>
        <v>4764710.5760000004</v>
      </c>
    </row>
    <row r="44" spans="1:21" s="33" customFormat="1" ht="103.5" customHeight="1" x14ac:dyDescent="0.25">
      <c r="A44" s="34" t="s">
        <v>325</v>
      </c>
      <c r="B44" s="34" t="s">
        <v>71</v>
      </c>
      <c r="C44" s="34" t="s">
        <v>72</v>
      </c>
      <c r="D44" s="34" t="s">
        <v>73</v>
      </c>
      <c r="E44" s="35">
        <f>E10*E18+E13*E19+E16*E20</f>
        <v>260676.08</v>
      </c>
      <c r="F44" s="35">
        <f>F35*$E$18+F38*$E$19+F41*$E$20</f>
        <v>18619.72</v>
      </c>
      <c r="G44" s="35">
        <f t="shared" si="11"/>
        <v>18619.72</v>
      </c>
      <c r="H44" s="35">
        <f t="shared" si="11"/>
        <v>18619.72</v>
      </c>
      <c r="I44" s="35">
        <f t="shared" si="11"/>
        <v>18619.72</v>
      </c>
      <c r="J44" s="35">
        <f t="shared" si="11"/>
        <v>18619.72</v>
      </c>
      <c r="K44" s="35">
        <f t="shared" si="11"/>
        <v>18619.72</v>
      </c>
      <c r="L44" s="35">
        <f t="shared" si="11"/>
        <v>18619.72</v>
      </c>
      <c r="M44" s="35">
        <f t="shared" si="11"/>
        <v>18619.72</v>
      </c>
      <c r="N44" s="35">
        <f t="shared" si="11"/>
        <v>18619.72</v>
      </c>
      <c r="O44" s="35">
        <f t="shared" si="11"/>
        <v>18619.72</v>
      </c>
      <c r="P44" s="35">
        <f t="shared" si="11"/>
        <v>18619.72</v>
      </c>
      <c r="Q44" s="35">
        <f t="shared" si="11"/>
        <v>18619.72</v>
      </c>
      <c r="R44" s="35">
        <f t="shared" si="11"/>
        <v>18619.72</v>
      </c>
      <c r="S44" s="35">
        <f t="shared" si="11"/>
        <v>18619.72</v>
      </c>
      <c r="T44" s="36">
        <f>SUM(F44:S44)</f>
        <v>260676.08000000002</v>
      </c>
    </row>
    <row r="45" spans="1:21" s="33" customFormat="1" ht="78.75" x14ac:dyDescent="0.25">
      <c r="A45" s="13" t="s">
        <v>74</v>
      </c>
      <c r="B45" s="13" t="s">
        <v>40</v>
      </c>
      <c r="C45" s="13" t="s">
        <v>75</v>
      </c>
      <c r="D45" s="13" t="s">
        <v>73</v>
      </c>
      <c r="E45" s="21">
        <f>1+E22-1+E23-1+E24-1+E25-1</f>
        <v>2.0099999999999998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6"/>
    </row>
    <row r="46" spans="1:21" s="33" customFormat="1" ht="110.25" x14ac:dyDescent="0.25">
      <c r="A46" s="13" t="s">
        <v>76</v>
      </c>
      <c r="B46" s="13" t="s">
        <v>40</v>
      </c>
      <c r="C46" s="13" t="s">
        <v>77</v>
      </c>
      <c r="D46" s="13" t="s">
        <v>73</v>
      </c>
      <c r="E46" s="21">
        <f>E27*E28*E29</f>
        <v>0.97970000000000002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6"/>
    </row>
    <row r="47" spans="1:21" s="33" customFormat="1" ht="110.25" x14ac:dyDescent="0.25">
      <c r="A47" s="34" t="s">
        <v>326</v>
      </c>
      <c r="B47" s="34" t="s">
        <v>71</v>
      </c>
      <c r="C47" s="13" t="s">
        <v>78</v>
      </c>
      <c r="D47" s="13" t="s">
        <v>73</v>
      </c>
      <c r="E47" s="35">
        <f>(E43+E44)*E45*E46</f>
        <v>9895976.32683523</v>
      </c>
      <c r="F47" s="35">
        <f>(F43+F44)*$E$45*$E$46</f>
        <v>706855.45191680209</v>
      </c>
      <c r="G47" s="35">
        <f t="shared" ref="G47:S47" si="12">(G43+G44)*$E$45*$E$46</f>
        <v>706855.45191680209</v>
      </c>
      <c r="H47" s="35">
        <f t="shared" si="12"/>
        <v>706855.45191680209</v>
      </c>
      <c r="I47" s="35">
        <f t="shared" si="12"/>
        <v>706855.45191680209</v>
      </c>
      <c r="J47" s="35">
        <f t="shared" si="12"/>
        <v>706855.45191680209</v>
      </c>
      <c r="K47" s="35">
        <f t="shared" si="12"/>
        <v>706855.45191680209</v>
      </c>
      <c r="L47" s="35">
        <f t="shared" si="12"/>
        <v>706855.45191680209</v>
      </c>
      <c r="M47" s="35">
        <f t="shared" si="12"/>
        <v>706855.45191680209</v>
      </c>
      <c r="N47" s="35">
        <f t="shared" si="12"/>
        <v>706855.45191680209</v>
      </c>
      <c r="O47" s="35">
        <f t="shared" si="12"/>
        <v>706855.45191680209</v>
      </c>
      <c r="P47" s="35">
        <f t="shared" si="12"/>
        <v>706855.45191680209</v>
      </c>
      <c r="Q47" s="35">
        <f t="shared" si="12"/>
        <v>706855.45191680209</v>
      </c>
      <c r="R47" s="35">
        <f t="shared" si="12"/>
        <v>706855.45191680209</v>
      </c>
      <c r="S47" s="35">
        <f t="shared" si="12"/>
        <v>706855.45191680209</v>
      </c>
      <c r="T47" s="38">
        <f>SUM(F47:S47)</f>
        <v>9895976.3268352281</v>
      </c>
    </row>
    <row r="48" spans="1:21" x14ac:dyDescent="0.25">
      <c r="A48" s="7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10.25" x14ac:dyDescent="0.25">
      <c r="A49" s="39" t="s">
        <v>80</v>
      </c>
      <c r="B49" s="40" t="s">
        <v>81</v>
      </c>
      <c r="C49" s="13" t="s">
        <v>192</v>
      </c>
      <c r="D49" s="13" t="s">
        <v>82</v>
      </c>
      <c r="E49" s="14">
        <v>108.6</v>
      </c>
      <c r="F49" s="14">
        <v>104</v>
      </c>
      <c r="G49" s="14">
        <v>104</v>
      </c>
      <c r="H49" s="14">
        <v>104</v>
      </c>
      <c r="I49" s="14">
        <v>104</v>
      </c>
      <c r="J49" s="14">
        <v>104</v>
      </c>
      <c r="K49" s="14">
        <v>104</v>
      </c>
      <c r="L49" s="14">
        <v>104</v>
      </c>
      <c r="M49" s="14">
        <v>104</v>
      </c>
      <c r="N49" s="14">
        <v>104</v>
      </c>
      <c r="O49" s="14">
        <v>104</v>
      </c>
      <c r="P49" s="14">
        <v>104</v>
      </c>
      <c r="Q49" s="14">
        <v>104</v>
      </c>
      <c r="R49" s="14">
        <v>104</v>
      </c>
      <c r="S49" s="14">
        <v>104</v>
      </c>
      <c r="T49" s="36"/>
    </row>
    <row r="50" spans="1:20" ht="47.25" x14ac:dyDescent="0.25">
      <c r="A50" s="39" t="s">
        <v>83</v>
      </c>
      <c r="B50" s="40" t="s">
        <v>350</v>
      </c>
      <c r="C50" s="13"/>
      <c r="D50" s="13" t="s">
        <v>73</v>
      </c>
      <c r="E50" s="41">
        <v>1</v>
      </c>
      <c r="F50" s="41">
        <f>F49/100</f>
        <v>1.04</v>
      </c>
      <c r="G50" s="41">
        <f>F49*G49/10000</f>
        <v>1.0815999999999999</v>
      </c>
      <c r="H50" s="41">
        <f t="shared" ref="H50:S50" si="13">G50*H49/100</f>
        <v>1.1248639999999999</v>
      </c>
      <c r="I50" s="41">
        <f t="shared" si="13"/>
        <v>1.1698585599999998</v>
      </c>
      <c r="J50" s="41">
        <f t="shared" si="13"/>
        <v>1.2166529023999997</v>
      </c>
      <c r="K50" s="41">
        <f t="shared" si="13"/>
        <v>1.2653190184959997</v>
      </c>
      <c r="L50" s="41">
        <f t="shared" si="13"/>
        <v>1.3159317792358396</v>
      </c>
      <c r="M50" s="41">
        <f t="shared" si="13"/>
        <v>1.3685690504052732</v>
      </c>
      <c r="N50" s="41">
        <f t="shared" si="13"/>
        <v>1.4233118124214841</v>
      </c>
      <c r="O50" s="41">
        <f t="shared" si="13"/>
        <v>1.4802442849183435</v>
      </c>
      <c r="P50" s="41">
        <f t="shared" si="13"/>
        <v>1.5394540563150771</v>
      </c>
      <c r="Q50" s="41">
        <f t="shared" si="13"/>
        <v>1.6010322185676802</v>
      </c>
      <c r="R50" s="41">
        <f t="shared" si="13"/>
        <v>1.6650735073103875</v>
      </c>
      <c r="S50" s="41">
        <f t="shared" si="13"/>
        <v>1.731676447602803</v>
      </c>
      <c r="T50" s="36"/>
    </row>
    <row r="51" spans="1:20" ht="47.25" x14ac:dyDescent="0.25">
      <c r="A51" s="34" t="s">
        <v>193</v>
      </c>
      <c r="B51" s="34" t="s">
        <v>71</v>
      </c>
      <c r="C51" s="13" t="s">
        <v>84</v>
      </c>
      <c r="D51" s="13" t="s">
        <v>73</v>
      </c>
      <c r="E51" s="42"/>
      <c r="F51" s="43">
        <f>$F$47*F50</f>
        <v>735129.66999347415</v>
      </c>
      <c r="G51" s="43">
        <f t="shared" ref="G51:S51" si="14">$F$47*G50</f>
        <v>764534.85679321305</v>
      </c>
      <c r="H51" s="43">
        <f t="shared" si="14"/>
        <v>795116.25106494152</v>
      </c>
      <c r="I51" s="43">
        <f t="shared" si="14"/>
        <v>826920.90110753919</v>
      </c>
      <c r="J51" s="43">
        <f t="shared" si="14"/>
        <v>859997.7371518407</v>
      </c>
      <c r="K51" s="43">
        <f t="shared" si="14"/>
        <v>894397.64663791435</v>
      </c>
      <c r="L51" s="43">
        <f t="shared" si="14"/>
        <v>930173.55250343087</v>
      </c>
      <c r="M51" s="43">
        <f t="shared" si="14"/>
        <v>967380.49460356811</v>
      </c>
      <c r="N51" s="43">
        <f t="shared" si="14"/>
        <v>1006075.7143877108</v>
      </c>
      <c r="O51" s="43">
        <f t="shared" si="14"/>
        <v>1046318.7429632192</v>
      </c>
      <c r="P51" s="43">
        <f t="shared" si="14"/>
        <v>1088171.492681748</v>
      </c>
      <c r="Q51" s="43">
        <f t="shared" si="14"/>
        <v>1131698.3523890178</v>
      </c>
      <c r="R51" s="43">
        <f t="shared" si="14"/>
        <v>1176966.2864845786</v>
      </c>
      <c r="S51" s="43">
        <f t="shared" si="14"/>
        <v>1224044.9379439617</v>
      </c>
      <c r="T51" s="38">
        <f>SUM(F51:S51)</f>
        <v>13446926.636706159</v>
      </c>
    </row>
  </sheetData>
  <mergeCells count="1">
    <mergeCell ref="A26:I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zoomScale="70" zoomScaleNormal="70" workbookViewId="0">
      <pane ySplit="3" topLeftCell="A4" activePane="bottomLeft" state="frozen"/>
      <selection pane="bottomLeft" activeCell="A4" sqref="A4:XFD4"/>
    </sheetView>
  </sheetViews>
  <sheetFormatPr defaultColWidth="7.109375" defaultRowHeight="15.75" x14ac:dyDescent="0.25"/>
  <cols>
    <col min="1" max="1" width="30" style="4" customWidth="1"/>
    <col min="2" max="2" width="14.77734375" style="4" customWidth="1"/>
    <col min="3" max="3" width="19.6640625" style="4" customWidth="1"/>
    <col min="4" max="4" width="21.109375" style="4" customWidth="1"/>
    <col min="5" max="6" width="10.21875" style="4" bestFit="1" customWidth="1"/>
    <col min="7" max="7" width="14.109375" style="4" customWidth="1"/>
    <col min="8" max="8" width="10.21875" style="4" bestFit="1" customWidth="1"/>
    <col min="9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57" t="s">
        <v>141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1.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151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70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338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1.5" x14ac:dyDescent="0.25">
      <c r="A6" s="62" t="s">
        <v>127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47.25" x14ac:dyDescent="0.25">
      <c r="A7" s="13" t="s">
        <v>128</v>
      </c>
      <c r="B7" s="13" t="s">
        <v>126</v>
      </c>
      <c r="C7" s="13" t="s">
        <v>27</v>
      </c>
      <c r="D7" s="13" t="s">
        <v>28</v>
      </c>
      <c r="E7" s="59">
        <f>SUM(F7:S7)</f>
        <v>1900</v>
      </c>
      <c r="F7" s="59"/>
      <c r="G7" s="59">
        <v>1900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31.5" x14ac:dyDescent="0.25">
      <c r="A8" s="13" t="s">
        <v>217</v>
      </c>
      <c r="B8" s="13"/>
      <c r="C8" s="13"/>
      <c r="D8" s="1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ht="31.5" x14ac:dyDescent="0.25">
      <c r="A9" s="13" t="s">
        <v>218</v>
      </c>
      <c r="B9" s="13"/>
      <c r="C9" s="13"/>
      <c r="D9" s="1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47.25" x14ac:dyDescent="0.25">
      <c r="A10" s="13" t="s">
        <v>129</v>
      </c>
      <c r="B10" s="13" t="s">
        <v>126</v>
      </c>
      <c r="C10" s="13" t="s">
        <v>27</v>
      </c>
      <c r="D10" s="13" t="s">
        <v>28</v>
      </c>
      <c r="E10" s="59">
        <f>SUM(F10:S10)</f>
        <v>800</v>
      </c>
      <c r="F10" s="59"/>
      <c r="G10" s="59"/>
      <c r="H10" s="59"/>
      <c r="I10" s="59">
        <v>400</v>
      </c>
      <c r="J10" s="59"/>
      <c r="K10" s="59"/>
      <c r="L10" s="59"/>
      <c r="M10" s="59">
        <v>400</v>
      </c>
      <c r="N10" s="59"/>
      <c r="O10" s="59"/>
      <c r="P10" s="59"/>
      <c r="Q10" s="59"/>
      <c r="R10" s="59"/>
      <c r="S10" s="59"/>
      <c r="T10" s="59"/>
    </row>
    <row r="11" spans="1:20" ht="31.5" x14ac:dyDescent="0.25">
      <c r="A11" s="62" t="s">
        <v>130</v>
      </c>
      <c r="B11" s="62"/>
      <c r="C11" s="62"/>
      <c r="D11" s="62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ht="47.25" x14ac:dyDescent="0.25">
      <c r="A12" s="13" t="s">
        <v>153</v>
      </c>
      <c r="B12" s="13" t="s">
        <v>126</v>
      </c>
      <c r="C12" s="13" t="s">
        <v>27</v>
      </c>
      <c r="D12" s="13" t="s">
        <v>28</v>
      </c>
      <c r="E12" s="59">
        <f t="shared" ref="E12:E25" si="0">SUM(F12:S12)</f>
        <v>1980</v>
      </c>
      <c r="F12" s="59"/>
      <c r="G12" s="59"/>
      <c r="H12" s="59">
        <v>1660</v>
      </c>
      <c r="I12" s="59"/>
      <c r="J12" s="59"/>
      <c r="K12" s="59"/>
      <c r="L12" s="59">
        <v>320</v>
      </c>
      <c r="M12" s="59"/>
      <c r="N12" s="59"/>
      <c r="O12" s="59"/>
      <c r="P12" s="59"/>
      <c r="Q12" s="59"/>
      <c r="R12" s="59"/>
      <c r="S12" s="59"/>
      <c r="T12" s="59"/>
    </row>
    <row r="13" spans="1:20" ht="31.5" x14ac:dyDescent="0.25">
      <c r="A13" s="13" t="s">
        <v>217</v>
      </c>
      <c r="B13" s="13"/>
      <c r="C13" s="13"/>
      <c r="D13" s="13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 ht="31.5" x14ac:dyDescent="0.25">
      <c r="A14" s="13" t="s">
        <v>218</v>
      </c>
      <c r="B14" s="13"/>
      <c r="C14" s="13"/>
      <c r="D14" s="13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47.25" x14ac:dyDescent="0.25">
      <c r="A15" s="13" t="s">
        <v>154</v>
      </c>
      <c r="B15" s="13" t="s">
        <v>126</v>
      </c>
      <c r="C15" s="13" t="s">
        <v>27</v>
      </c>
      <c r="D15" s="13" t="s">
        <v>28</v>
      </c>
      <c r="E15" s="59">
        <f t="shared" si="0"/>
        <v>920</v>
      </c>
      <c r="F15" s="59"/>
      <c r="G15" s="59"/>
      <c r="H15" s="59"/>
      <c r="I15" s="59"/>
      <c r="J15" s="59">
        <v>600</v>
      </c>
      <c r="K15" s="59"/>
      <c r="L15" s="59">
        <v>320</v>
      </c>
      <c r="M15" s="59"/>
      <c r="N15" s="59"/>
      <c r="O15" s="59"/>
      <c r="P15" s="59"/>
      <c r="Q15" s="59"/>
      <c r="R15" s="59"/>
      <c r="S15" s="59"/>
      <c r="T15" s="59"/>
    </row>
    <row r="16" spans="1:20" ht="31.5" x14ac:dyDescent="0.25">
      <c r="A16" s="62" t="s">
        <v>142</v>
      </c>
      <c r="B16" s="62"/>
      <c r="C16" s="62"/>
      <c r="D16" s="62"/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0" ht="47.25" x14ac:dyDescent="0.25">
      <c r="A17" s="13" t="s">
        <v>135</v>
      </c>
      <c r="B17" s="13" t="s">
        <v>131</v>
      </c>
      <c r="C17" s="13" t="s">
        <v>27</v>
      </c>
      <c r="D17" s="13" t="s">
        <v>28</v>
      </c>
      <c r="E17" s="59">
        <f t="shared" si="0"/>
        <v>1920</v>
      </c>
      <c r="F17" s="59"/>
      <c r="G17" s="59"/>
      <c r="H17" s="59"/>
      <c r="I17" s="59"/>
      <c r="J17" s="59"/>
      <c r="K17" s="59"/>
      <c r="L17" s="59"/>
      <c r="M17" s="59"/>
      <c r="N17" s="59">
        <v>1920</v>
      </c>
      <c r="O17" s="59"/>
      <c r="P17" s="59"/>
      <c r="Q17" s="59"/>
      <c r="R17" s="59"/>
      <c r="S17" s="59"/>
      <c r="T17" s="59"/>
    </row>
    <row r="18" spans="1:20" ht="47.25" x14ac:dyDescent="0.25">
      <c r="A18" s="13" t="s">
        <v>134</v>
      </c>
      <c r="B18" s="13" t="s">
        <v>131</v>
      </c>
      <c r="C18" s="13" t="s">
        <v>27</v>
      </c>
      <c r="D18" s="13" t="s">
        <v>28</v>
      </c>
      <c r="E18" s="59">
        <f t="shared" si="0"/>
        <v>2500</v>
      </c>
      <c r="F18" s="59"/>
      <c r="G18" s="59"/>
      <c r="H18" s="59"/>
      <c r="I18" s="59"/>
      <c r="J18" s="59">
        <v>2500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31.5" x14ac:dyDescent="0.25">
      <c r="A19" s="62" t="s">
        <v>136</v>
      </c>
      <c r="B19" s="62"/>
      <c r="C19" s="62"/>
      <c r="D19" s="62"/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47.25" x14ac:dyDescent="0.25">
      <c r="A20" s="13" t="s">
        <v>206</v>
      </c>
      <c r="B20" s="13" t="s">
        <v>133</v>
      </c>
      <c r="C20" s="13" t="s">
        <v>27</v>
      </c>
      <c r="D20" s="13" t="s">
        <v>28</v>
      </c>
      <c r="E20" s="59">
        <f t="shared" si="0"/>
        <v>2</v>
      </c>
      <c r="F20" s="59"/>
      <c r="G20" s="59"/>
      <c r="H20" s="59">
        <v>2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ht="47.25" x14ac:dyDescent="0.25">
      <c r="A21" s="13" t="s">
        <v>205</v>
      </c>
      <c r="B21" s="13" t="s">
        <v>163</v>
      </c>
      <c r="C21" s="13" t="s">
        <v>27</v>
      </c>
      <c r="D21" s="13" t="s">
        <v>28</v>
      </c>
      <c r="E21" s="59">
        <f t="shared" si="0"/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ht="31.5" x14ac:dyDescent="0.25">
      <c r="A22" s="62" t="s">
        <v>137</v>
      </c>
      <c r="B22" s="62" t="s">
        <v>132</v>
      </c>
      <c r="C22" s="62" t="s">
        <v>27</v>
      </c>
      <c r="D22" s="62" t="s">
        <v>28</v>
      </c>
      <c r="E22" s="65">
        <f t="shared" si="0"/>
        <v>5000</v>
      </c>
      <c r="F22" s="65"/>
      <c r="G22" s="65">
        <v>4000</v>
      </c>
      <c r="H22" s="65"/>
      <c r="I22" s="65"/>
      <c r="J22" s="65"/>
      <c r="K22" s="65"/>
      <c r="L22" s="65"/>
      <c r="M22" s="65"/>
      <c r="N22" s="65">
        <v>1000</v>
      </c>
      <c r="O22" s="65"/>
      <c r="P22" s="65"/>
      <c r="Q22" s="65"/>
      <c r="R22" s="65"/>
      <c r="S22" s="65"/>
      <c r="T22" s="65"/>
    </row>
    <row r="23" spans="1:20" ht="31.5" x14ac:dyDescent="0.25">
      <c r="A23" s="62" t="s">
        <v>138</v>
      </c>
      <c r="B23" s="62"/>
      <c r="C23" s="62"/>
      <c r="D23" s="6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ht="47.25" x14ac:dyDescent="0.25">
      <c r="A24" s="13" t="s">
        <v>139</v>
      </c>
      <c r="B24" s="13" t="s">
        <v>132</v>
      </c>
      <c r="C24" s="13" t="s">
        <v>27</v>
      </c>
      <c r="D24" s="13" t="s">
        <v>28</v>
      </c>
      <c r="E24" s="59">
        <f t="shared" si="0"/>
        <v>700</v>
      </c>
      <c r="F24" s="59"/>
      <c r="G24" s="59"/>
      <c r="H24" s="59">
        <v>700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ht="47.25" x14ac:dyDescent="0.25">
      <c r="A25" s="13" t="s">
        <v>140</v>
      </c>
      <c r="B25" s="13" t="s">
        <v>132</v>
      </c>
      <c r="C25" s="13" t="s">
        <v>27</v>
      </c>
      <c r="D25" s="13" t="s">
        <v>28</v>
      </c>
      <c r="E25" s="59">
        <f t="shared" si="0"/>
        <v>1000</v>
      </c>
      <c r="F25" s="59"/>
      <c r="G25" s="59"/>
      <c r="H25" s="59"/>
      <c r="I25" s="59"/>
      <c r="J25" s="59"/>
      <c r="K25" s="59"/>
      <c r="L25" s="59"/>
      <c r="M25" s="59">
        <v>1000</v>
      </c>
      <c r="N25" s="59"/>
      <c r="O25" s="59"/>
      <c r="P25" s="59"/>
      <c r="Q25" s="59"/>
      <c r="R25" s="59"/>
      <c r="S25" s="59"/>
      <c r="T25" s="59"/>
    </row>
    <row r="26" spans="1:20" ht="98.25" customHeight="1" x14ac:dyDescent="0.25">
      <c r="A26" s="17" t="s">
        <v>162</v>
      </c>
      <c r="B26" s="18"/>
      <c r="C26" s="18" t="s">
        <v>149</v>
      </c>
      <c r="D26" s="18" t="s">
        <v>144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66.75" customHeight="1" x14ac:dyDescent="0.25">
      <c r="A27" s="62" t="s">
        <v>175</v>
      </c>
      <c r="B27" s="62" t="s">
        <v>147</v>
      </c>
      <c r="C27" s="62" t="s">
        <v>235</v>
      </c>
      <c r="D27" s="62" t="s">
        <v>177</v>
      </c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63" x14ac:dyDescent="0.25">
      <c r="A28" s="13" t="s">
        <v>152</v>
      </c>
      <c r="B28" s="13"/>
      <c r="C28" s="13"/>
      <c r="D28" s="1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0"/>
    </row>
    <row r="29" spans="1:20" ht="31.5" x14ac:dyDescent="0.25">
      <c r="A29" s="13" t="s">
        <v>179</v>
      </c>
      <c r="B29" s="13" t="s">
        <v>126</v>
      </c>
      <c r="C29" s="13"/>
      <c r="D29" s="13"/>
      <c r="E29" s="16"/>
      <c r="F29" s="53"/>
      <c r="G29" s="53">
        <v>800</v>
      </c>
      <c r="H29" s="53"/>
      <c r="I29" s="53">
        <v>280</v>
      </c>
      <c r="J29" s="53"/>
      <c r="K29" s="53"/>
      <c r="L29" s="53"/>
      <c r="M29" s="53">
        <v>280</v>
      </c>
      <c r="N29" s="53"/>
      <c r="O29" s="53"/>
      <c r="P29" s="53"/>
      <c r="Q29" s="53"/>
      <c r="R29" s="53"/>
      <c r="S29" s="53"/>
      <c r="T29" s="20"/>
    </row>
    <row r="30" spans="1:20" ht="31.5" x14ac:dyDescent="0.25">
      <c r="A30" s="13" t="s">
        <v>180</v>
      </c>
      <c r="B30" s="13" t="s">
        <v>126</v>
      </c>
      <c r="C30" s="13"/>
      <c r="D30" s="13"/>
      <c r="E30" s="16"/>
      <c r="F30" s="53"/>
      <c r="G30" s="53">
        <v>2500</v>
      </c>
      <c r="H30" s="53"/>
      <c r="I30" s="53">
        <v>580</v>
      </c>
      <c r="J30" s="53"/>
      <c r="K30" s="53"/>
      <c r="L30" s="53"/>
      <c r="M30" s="53">
        <v>580</v>
      </c>
      <c r="N30" s="53"/>
      <c r="O30" s="53"/>
      <c r="P30" s="53"/>
      <c r="Q30" s="53"/>
      <c r="R30" s="53"/>
      <c r="S30" s="53"/>
      <c r="T30" s="20"/>
    </row>
    <row r="31" spans="1:20" ht="31.5" x14ac:dyDescent="0.25">
      <c r="A31" s="13" t="s">
        <v>181</v>
      </c>
      <c r="B31" s="13" t="s">
        <v>147</v>
      </c>
      <c r="C31" s="13"/>
      <c r="D31" s="13"/>
      <c r="E31" s="16"/>
      <c r="F31" s="21"/>
      <c r="G31" s="21">
        <v>25.43</v>
      </c>
      <c r="H31" s="21"/>
      <c r="I31" s="21">
        <v>69.73</v>
      </c>
      <c r="J31" s="21"/>
      <c r="K31" s="21"/>
      <c r="L31" s="21"/>
      <c r="M31" s="21">
        <v>69.73</v>
      </c>
      <c r="N31" s="21"/>
      <c r="O31" s="21"/>
      <c r="P31" s="21"/>
      <c r="Q31" s="21"/>
      <c r="R31" s="21"/>
      <c r="S31" s="21"/>
      <c r="T31" s="20"/>
    </row>
    <row r="32" spans="1:20" ht="31.5" x14ac:dyDescent="0.25">
      <c r="A32" s="13" t="s">
        <v>178</v>
      </c>
      <c r="B32" s="13" t="s">
        <v>147</v>
      </c>
      <c r="C32" s="13"/>
      <c r="D32" s="13"/>
      <c r="E32" s="16"/>
      <c r="F32" s="21"/>
      <c r="G32" s="21">
        <v>22.65</v>
      </c>
      <c r="H32" s="21"/>
      <c r="I32" s="21">
        <v>33.869999999999997</v>
      </c>
      <c r="J32" s="21"/>
      <c r="K32" s="21"/>
      <c r="L32" s="21"/>
      <c r="M32" s="21">
        <v>33.869999999999997</v>
      </c>
      <c r="N32" s="21"/>
      <c r="O32" s="21"/>
      <c r="P32" s="21"/>
      <c r="Q32" s="21"/>
      <c r="R32" s="21"/>
      <c r="S32" s="21"/>
      <c r="T32" s="20"/>
    </row>
    <row r="33" spans="1:20" ht="63" x14ac:dyDescent="0.25">
      <c r="A33" s="62" t="s">
        <v>176</v>
      </c>
      <c r="B33" s="62" t="s">
        <v>147</v>
      </c>
      <c r="C33" s="62" t="s">
        <v>236</v>
      </c>
      <c r="D33" s="62" t="s">
        <v>177</v>
      </c>
      <c r="E33" s="63"/>
      <c r="F33" s="64"/>
      <c r="G33" s="64"/>
      <c r="H33" s="64"/>
      <c r="I33" s="64"/>
      <c r="J33" s="64"/>
      <c r="K33" s="64"/>
      <c r="L33" s="64">
        <v>96.06</v>
      </c>
      <c r="M33" s="64"/>
      <c r="N33" s="64"/>
      <c r="O33" s="64"/>
      <c r="P33" s="64"/>
      <c r="Q33" s="64"/>
      <c r="R33" s="64"/>
      <c r="S33" s="64"/>
      <c r="T33" s="63"/>
    </row>
    <row r="34" spans="1:20" ht="63" x14ac:dyDescent="0.25">
      <c r="A34" s="13" t="s">
        <v>152</v>
      </c>
      <c r="B34" s="13"/>
      <c r="C34" s="13"/>
      <c r="D34" s="1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0"/>
    </row>
    <row r="35" spans="1:20" ht="31.5" x14ac:dyDescent="0.25">
      <c r="A35" s="13" t="s">
        <v>179</v>
      </c>
      <c r="B35" s="13" t="s">
        <v>126</v>
      </c>
      <c r="C35" s="13"/>
      <c r="D35" s="13"/>
      <c r="E35" s="16"/>
      <c r="F35" s="53"/>
      <c r="G35" s="53"/>
      <c r="H35" s="53">
        <v>900</v>
      </c>
      <c r="I35" s="53"/>
      <c r="J35" s="53">
        <v>320</v>
      </c>
      <c r="K35" s="53"/>
      <c r="L35" s="53"/>
      <c r="M35" s="53"/>
      <c r="N35" s="53"/>
      <c r="O35" s="53"/>
      <c r="P35" s="53"/>
      <c r="Q35" s="53"/>
      <c r="R35" s="53"/>
      <c r="S35" s="53"/>
      <c r="T35" s="20"/>
    </row>
    <row r="36" spans="1:20" ht="31.5" x14ac:dyDescent="0.25">
      <c r="A36" s="13" t="s">
        <v>180</v>
      </c>
      <c r="B36" s="13" t="s">
        <v>126</v>
      </c>
      <c r="C36" s="13"/>
      <c r="D36" s="13"/>
      <c r="E36" s="16"/>
      <c r="F36" s="53"/>
      <c r="G36" s="53"/>
      <c r="H36" s="53">
        <v>1960</v>
      </c>
      <c r="I36" s="53"/>
      <c r="J36" s="53">
        <v>640</v>
      </c>
      <c r="K36" s="53"/>
      <c r="L36" s="53"/>
      <c r="M36" s="53"/>
      <c r="N36" s="53"/>
      <c r="O36" s="53"/>
      <c r="P36" s="53"/>
      <c r="Q36" s="53"/>
      <c r="R36" s="53"/>
      <c r="S36" s="53"/>
      <c r="T36" s="20"/>
    </row>
    <row r="37" spans="1:20" ht="31.5" x14ac:dyDescent="0.25">
      <c r="A37" s="13" t="s">
        <v>181</v>
      </c>
      <c r="B37" s="13" t="s">
        <v>147</v>
      </c>
      <c r="C37" s="13"/>
      <c r="D37" s="13"/>
      <c r="E37" s="16"/>
      <c r="F37" s="21"/>
      <c r="G37" s="21"/>
      <c r="H37" s="21">
        <v>37.79</v>
      </c>
      <c r="I37" s="21"/>
      <c r="J37" s="21">
        <v>96.06</v>
      </c>
      <c r="K37" s="21"/>
      <c r="L37" s="21"/>
      <c r="M37" s="21"/>
      <c r="N37" s="21"/>
      <c r="O37" s="21"/>
      <c r="P37" s="21"/>
      <c r="Q37" s="21"/>
      <c r="R37" s="21"/>
      <c r="S37" s="21"/>
      <c r="T37" s="20"/>
    </row>
    <row r="38" spans="1:20" ht="31.5" x14ac:dyDescent="0.25">
      <c r="A38" s="13" t="s">
        <v>178</v>
      </c>
      <c r="B38" s="13" t="s">
        <v>147</v>
      </c>
      <c r="C38" s="13"/>
      <c r="D38" s="13"/>
      <c r="E38" s="16"/>
      <c r="F38" s="21"/>
      <c r="G38" s="21"/>
      <c r="H38" s="21">
        <v>37.14</v>
      </c>
      <c r="I38" s="21"/>
      <c r="J38" s="21">
        <v>49.54</v>
      </c>
      <c r="K38" s="21"/>
      <c r="L38" s="21"/>
      <c r="M38" s="21"/>
      <c r="N38" s="21"/>
      <c r="O38" s="21"/>
      <c r="P38" s="21"/>
      <c r="Q38" s="21"/>
      <c r="R38" s="21"/>
      <c r="S38" s="21"/>
      <c r="T38" s="20"/>
    </row>
    <row r="39" spans="1:20" ht="63" x14ac:dyDescent="0.25">
      <c r="A39" s="62" t="s">
        <v>155</v>
      </c>
      <c r="B39" s="62" t="s">
        <v>156</v>
      </c>
      <c r="C39" s="62" t="s">
        <v>157</v>
      </c>
      <c r="D39" s="62" t="s">
        <v>177</v>
      </c>
      <c r="E39" s="64"/>
      <c r="F39" s="64"/>
      <c r="G39" s="64"/>
      <c r="H39" s="64"/>
      <c r="I39" s="64"/>
      <c r="J39" s="64"/>
      <c r="K39" s="64"/>
      <c r="L39" s="64"/>
      <c r="M39" s="64"/>
      <c r="N39" s="64">
        <v>20.95</v>
      </c>
      <c r="O39" s="64"/>
      <c r="P39" s="64"/>
      <c r="Q39" s="64"/>
      <c r="R39" s="64"/>
      <c r="S39" s="64"/>
      <c r="T39" s="64"/>
    </row>
    <row r="40" spans="1:20" ht="63" x14ac:dyDescent="0.25">
      <c r="A40" s="13" t="s">
        <v>152</v>
      </c>
      <c r="B40" s="13"/>
      <c r="C40" s="13"/>
      <c r="D40" s="13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0"/>
    </row>
    <row r="41" spans="1:20" ht="31.5" x14ac:dyDescent="0.25">
      <c r="A41" s="13" t="s">
        <v>179</v>
      </c>
      <c r="B41" s="13" t="s">
        <v>131</v>
      </c>
      <c r="C41" s="13"/>
      <c r="D41" s="13"/>
      <c r="E41" s="16"/>
      <c r="F41" s="53"/>
      <c r="G41" s="53"/>
      <c r="H41" s="53"/>
      <c r="I41" s="53"/>
      <c r="J41" s="53">
        <v>1920</v>
      </c>
      <c r="K41" s="53"/>
      <c r="L41" s="53"/>
      <c r="M41" s="53"/>
      <c r="N41" s="53"/>
      <c r="O41" s="53"/>
      <c r="P41" s="53"/>
      <c r="Q41" s="53"/>
      <c r="R41" s="53"/>
      <c r="S41" s="53"/>
      <c r="T41" s="20"/>
    </row>
    <row r="42" spans="1:20" ht="31.5" x14ac:dyDescent="0.25">
      <c r="A42" s="13" t="s">
        <v>180</v>
      </c>
      <c r="B42" s="13" t="s">
        <v>131</v>
      </c>
      <c r="C42" s="13"/>
      <c r="D42" s="13"/>
      <c r="E42" s="16"/>
      <c r="F42" s="53"/>
      <c r="G42" s="53"/>
      <c r="H42" s="53"/>
      <c r="I42" s="53"/>
      <c r="J42" s="53">
        <v>10000</v>
      </c>
      <c r="K42" s="53"/>
      <c r="L42" s="53"/>
      <c r="M42" s="53"/>
      <c r="N42" s="53"/>
      <c r="O42" s="53"/>
      <c r="P42" s="53"/>
      <c r="Q42" s="53"/>
      <c r="R42" s="53"/>
      <c r="S42" s="53"/>
      <c r="T42" s="20"/>
    </row>
    <row r="43" spans="1:20" ht="31.5" x14ac:dyDescent="0.25">
      <c r="A43" s="13" t="s">
        <v>181</v>
      </c>
      <c r="B43" s="13" t="s">
        <v>156</v>
      </c>
      <c r="C43" s="13"/>
      <c r="D43" s="13"/>
      <c r="E43" s="16"/>
      <c r="F43" s="21"/>
      <c r="G43" s="21"/>
      <c r="H43" s="21"/>
      <c r="I43" s="21"/>
      <c r="J43" s="21">
        <v>20.95</v>
      </c>
      <c r="K43" s="21"/>
      <c r="L43" s="21"/>
      <c r="M43" s="21"/>
      <c r="N43" s="21"/>
      <c r="O43" s="21"/>
      <c r="P43" s="21"/>
      <c r="Q43" s="21"/>
      <c r="R43" s="21"/>
      <c r="S43" s="21"/>
      <c r="T43" s="20"/>
    </row>
    <row r="44" spans="1:20" ht="31.5" x14ac:dyDescent="0.25">
      <c r="A44" s="13" t="s">
        <v>178</v>
      </c>
      <c r="B44" s="13" t="s">
        <v>156</v>
      </c>
      <c r="C44" s="13"/>
      <c r="D44" s="13"/>
      <c r="E44" s="16"/>
      <c r="F44" s="21"/>
      <c r="G44" s="21"/>
      <c r="H44" s="21"/>
      <c r="I44" s="21"/>
      <c r="J44" s="21">
        <v>11.68</v>
      </c>
      <c r="K44" s="21"/>
      <c r="L44" s="21"/>
      <c r="M44" s="21"/>
      <c r="N44" s="21"/>
      <c r="O44" s="21"/>
      <c r="P44" s="21"/>
      <c r="Q44" s="21"/>
      <c r="R44" s="21"/>
      <c r="S44" s="21"/>
      <c r="T44" s="20"/>
    </row>
    <row r="45" spans="1:20" ht="94.5" x14ac:dyDescent="0.25">
      <c r="A45" s="62" t="s">
        <v>158</v>
      </c>
      <c r="B45" s="62" t="s">
        <v>198</v>
      </c>
      <c r="C45" s="62" t="s">
        <v>237</v>
      </c>
      <c r="D45" s="62" t="s">
        <v>177</v>
      </c>
      <c r="E45" s="63"/>
      <c r="F45" s="63"/>
      <c r="G45" s="63"/>
      <c r="H45" s="63">
        <v>6356.8</v>
      </c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spans="1:20" ht="63" x14ac:dyDescent="0.25">
      <c r="A46" s="62" t="s">
        <v>159</v>
      </c>
      <c r="B46" s="62" t="s">
        <v>160</v>
      </c>
      <c r="C46" s="62" t="s">
        <v>238</v>
      </c>
      <c r="D46" s="62" t="s">
        <v>177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</row>
    <row r="47" spans="1:20" ht="63" x14ac:dyDescent="0.25">
      <c r="A47" s="13" t="s">
        <v>152</v>
      </c>
      <c r="B47" s="13"/>
      <c r="C47" s="13"/>
      <c r="D47" s="13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20"/>
    </row>
    <row r="48" spans="1:20" ht="31.5" x14ac:dyDescent="0.25">
      <c r="A48" s="13" t="s">
        <v>179</v>
      </c>
      <c r="B48" s="13" t="s">
        <v>132</v>
      </c>
      <c r="C48" s="13"/>
      <c r="D48" s="13"/>
      <c r="E48" s="53"/>
      <c r="F48" s="53"/>
      <c r="G48" s="53">
        <v>3200</v>
      </c>
      <c r="H48" s="53"/>
      <c r="I48" s="53"/>
      <c r="J48" s="53"/>
      <c r="K48" s="53"/>
      <c r="L48" s="53"/>
      <c r="M48" s="53"/>
      <c r="N48" s="53">
        <v>700</v>
      </c>
      <c r="O48" s="53"/>
      <c r="P48" s="53"/>
      <c r="Q48" s="53"/>
      <c r="R48" s="53"/>
      <c r="S48" s="53"/>
      <c r="T48" s="20"/>
    </row>
    <row r="49" spans="1:20" ht="31.5" x14ac:dyDescent="0.25">
      <c r="A49" s="13" t="s">
        <v>180</v>
      </c>
      <c r="B49" s="13" t="s">
        <v>132</v>
      </c>
      <c r="C49" s="13"/>
      <c r="D49" s="13"/>
      <c r="E49" s="53"/>
      <c r="F49" s="53"/>
      <c r="G49" s="53">
        <v>5000</v>
      </c>
      <c r="H49" s="53"/>
      <c r="I49" s="53"/>
      <c r="J49" s="53"/>
      <c r="K49" s="53"/>
      <c r="L49" s="53"/>
      <c r="M49" s="53"/>
      <c r="N49" s="53">
        <v>1400</v>
      </c>
      <c r="O49" s="53"/>
      <c r="P49" s="53"/>
      <c r="Q49" s="53"/>
      <c r="R49" s="53"/>
      <c r="S49" s="53"/>
      <c r="T49" s="20"/>
    </row>
    <row r="50" spans="1:20" ht="31.5" x14ac:dyDescent="0.25">
      <c r="A50" s="13" t="s">
        <v>181</v>
      </c>
      <c r="B50" s="13" t="s">
        <v>160</v>
      </c>
      <c r="C50" s="13"/>
      <c r="D50" s="13"/>
      <c r="E50" s="16"/>
      <c r="F50" s="21"/>
      <c r="G50" s="21">
        <v>1.82</v>
      </c>
      <c r="H50" s="21"/>
      <c r="I50" s="21"/>
      <c r="J50" s="21"/>
      <c r="K50" s="21"/>
      <c r="L50" s="21"/>
      <c r="M50" s="21"/>
      <c r="N50" s="21">
        <v>3.08</v>
      </c>
      <c r="O50" s="21"/>
      <c r="P50" s="21"/>
      <c r="Q50" s="21"/>
      <c r="R50" s="21"/>
      <c r="S50" s="21"/>
      <c r="T50" s="20"/>
    </row>
    <row r="51" spans="1:20" ht="31.5" x14ac:dyDescent="0.25">
      <c r="A51" s="13" t="s">
        <v>178</v>
      </c>
      <c r="B51" s="13" t="s">
        <v>160</v>
      </c>
      <c r="C51" s="13"/>
      <c r="D51" s="13"/>
      <c r="E51" s="16"/>
      <c r="F51" s="21"/>
      <c r="G51" s="21">
        <v>1.75</v>
      </c>
      <c r="H51" s="21"/>
      <c r="I51" s="21"/>
      <c r="J51" s="21"/>
      <c r="K51" s="21"/>
      <c r="L51" s="21"/>
      <c r="M51" s="21"/>
      <c r="N51" s="21">
        <v>2.62</v>
      </c>
      <c r="O51" s="21"/>
      <c r="P51" s="21"/>
      <c r="Q51" s="21"/>
      <c r="R51" s="21"/>
      <c r="S51" s="21"/>
      <c r="T51" s="20"/>
    </row>
    <row r="52" spans="1:20" ht="63" x14ac:dyDescent="0.25">
      <c r="A52" s="62" t="s">
        <v>161</v>
      </c>
      <c r="B52" s="62" t="s">
        <v>160</v>
      </c>
      <c r="C52" s="62" t="s">
        <v>239</v>
      </c>
      <c r="D52" s="62" t="s">
        <v>177</v>
      </c>
      <c r="E52" s="63"/>
      <c r="F52" s="64"/>
      <c r="G52" s="64"/>
      <c r="H52" s="64">
        <v>13.94</v>
      </c>
      <c r="I52" s="64"/>
      <c r="J52" s="64"/>
      <c r="K52" s="64"/>
      <c r="L52" s="64"/>
      <c r="M52" s="64">
        <v>15.36</v>
      </c>
      <c r="N52" s="64"/>
      <c r="O52" s="64"/>
      <c r="P52" s="64"/>
      <c r="Q52" s="64"/>
      <c r="R52" s="64"/>
      <c r="S52" s="64"/>
      <c r="T52" s="63"/>
    </row>
    <row r="53" spans="1:20" ht="63" x14ac:dyDescent="0.25">
      <c r="A53" s="13" t="s">
        <v>152</v>
      </c>
      <c r="B53" s="13"/>
      <c r="C53" s="13"/>
      <c r="D53" s="1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0"/>
    </row>
    <row r="54" spans="1:20" ht="31.5" x14ac:dyDescent="0.25">
      <c r="A54" s="13" t="s">
        <v>179</v>
      </c>
      <c r="B54" s="13" t="s">
        <v>132</v>
      </c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0"/>
    </row>
    <row r="55" spans="1:20" ht="31.5" x14ac:dyDescent="0.25">
      <c r="A55" s="13" t="s">
        <v>180</v>
      </c>
      <c r="B55" s="13" t="s">
        <v>132</v>
      </c>
      <c r="C55" s="13"/>
      <c r="D55" s="13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0"/>
    </row>
    <row r="56" spans="1:20" ht="31.5" x14ac:dyDescent="0.25">
      <c r="A56" s="13" t="s">
        <v>181</v>
      </c>
      <c r="B56" s="13" t="s">
        <v>160</v>
      </c>
      <c r="C56" s="13"/>
      <c r="D56" s="13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20"/>
    </row>
    <row r="57" spans="1:20" ht="31.5" x14ac:dyDescent="0.25">
      <c r="A57" s="13" t="s">
        <v>178</v>
      </c>
      <c r="B57" s="13" t="s">
        <v>160</v>
      </c>
      <c r="C57" s="13"/>
      <c r="D57" s="1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0"/>
    </row>
    <row r="58" spans="1:20" x14ac:dyDescent="0.25">
      <c r="A58" s="115" t="s">
        <v>331</v>
      </c>
      <c r="B58" s="118"/>
      <c r="C58" s="118"/>
      <c r="D58" s="118"/>
      <c r="E58" s="118"/>
      <c r="F58" s="118"/>
      <c r="G58" s="118"/>
      <c r="H58" s="119"/>
      <c r="I58" s="19"/>
      <c r="J58" s="19"/>
      <c r="K58" s="19"/>
      <c r="L58" s="19"/>
      <c r="M58" s="19"/>
      <c r="N58" s="19"/>
      <c r="O58" s="12"/>
      <c r="P58" s="12"/>
      <c r="Q58" s="12"/>
      <c r="R58" s="12"/>
      <c r="S58" s="12"/>
      <c r="T58" s="12"/>
    </row>
    <row r="59" spans="1:20" ht="79.5" customHeight="1" x14ac:dyDescent="0.25">
      <c r="A59" s="13" t="s">
        <v>327</v>
      </c>
      <c r="B59" s="13" t="s">
        <v>40</v>
      </c>
      <c r="C59" s="13" t="s">
        <v>167</v>
      </c>
      <c r="D59" s="13" t="s">
        <v>166</v>
      </c>
      <c r="E59" s="21">
        <v>0.93</v>
      </c>
      <c r="F59" s="16"/>
      <c r="G59" s="16"/>
      <c r="H59" s="16"/>
      <c r="I59" s="16"/>
      <c r="J59" s="16"/>
      <c r="K59" s="16"/>
      <c r="L59" s="16"/>
      <c r="M59" s="16"/>
      <c r="N59" s="16"/>
      <c r="O59" s="22"/>
      <c r="P59" s="22"/>
      <c r="Q59" s="22"/>
      <c r="R59" s="22"/>
      <c r="S59" s="22"/>
      <c r="T59" s="3"/>
    </row>
    <row r="60" spans="1:20" ht="79.5" customHeight="1" x14ac:dyDescent="0.25">
      <c r="A60" s="13" t="s">
        <v>168</v>
      </c>
      <c r="B60" s="13" t="s">
        <v>40</v>
      </c>
      <c r="C60" s="13" t="s">
        <v>170</v>
      </c>
      <c r="D60" s="13" t="s">
        <v>169</v>
      </c>
      <c r="E60" s="21">
        <v>1</v>
      </c>
      <c r="F60" s="16"/>
      <c r="G60" s="16"/>
      <c r="H60" s="16"/>
      <c r="I60" s="16"/>
      <c r="J60" s="16"/>
      <c r="K60" s="16"/>
      <c r="L60" s="16"/>
      <c r="M60" s="16"/>
      <c r="N60" s="16"/>
      <c r="O60" s="22"/>
      <c r="P60" s="22"/>
      <c r="Q60" s="22"/>
      <c r="R60" s="22"/>
      <c r="S60" s="22"/>
      <c r="T60" s="3"/>
    </row>
    <row r="61" spans="1:20" ht="78.75" customHeight="1" x14ac:dyDescent="0.25">
      <c r="A61" s="13" t="s">
        <v>165</v>
      </c>
      <c r="B61" s="13" t="s">
        <v>40</v>
      </c>
      <c r="C61" s="13" t="s">
        <v>172</v>
      </c>
      <c r="D61" s="13" t="s">
        <v>171</v>
      </c>
      <c r="E61" s="21">
        <v>1.01</v>
      </c>
      <c r="F61" s="16"/>
      <c r="G61" s="16"/>
      <c r="H61" s="16"/>
      <c r="I61" s="16"/>
      <c r="J61" s="16"/>
      <c r="K61" s="16"/>
      <c r="L61" s="16"/>
      <c r="M61" s="16"/>
      <c r="N61" s="16"/>
      <c r="O61" s="22"/>
      <c r="P61" s="22"/>
      <c r="Q61" s="22"/>
      <c r="R61" s="22"/>
      <c r="S61" s="22"/>
      <c r="T61" s="3"/>
    </row>
    <row r="62" spans="1:20" ht="78.75" customHeight="1" x14ac:dyDescent="0.25">
      <c r="A62" s="13" t="s">
        <v>328</v>
      </c>
      <c r="B62" s="13" t="s">
        <v>40</v>
      </c>
      <c r="C62" s="13" t="s">
        <v>173</v>
      </c>
      <c r="D62" s="13" t="s">
        <v>56</v>
      </c>
      <c r="E62" s="21">
        <v>1</v>
      </c>
      <c r="F62" s="16"/>
      <c r="G62" s="16"/>
      <c r="H62" s="16"/>
      <c r="I62" s="16"/>
      <c r="J62" s="16"/>
      <c r="K62" s="16"/>
      <c r="L62" s="16"/>
      <c r="M62" s="16"/>
      <c r="N62" s="16"/>
      <c r="O62" s="22"/>
      <c r="P62" s="22"/>
      <c r="Q62" s="22"/>
      <c r="R62" s="22"/>
      <c r="S62" s="22"/>
      <c r="T62" s="3"/>
    </row>
    <row r="63" spans="1:20" s="33" customFormat="1" x14ac:dyDescent="0.25">
      <c r="A63" s="7" t="s">
        <v>69</v>
      </c>
      <c r="B63" s="31"/>
      <c r="C63" s="31"/>
      <c r="D63" s="31"/>
      <c r="E63" s="31" t="s">
        <v>314</v>
      </c>
      <c r="F63" s="32">
        <v>2022</v>
      </c>
      <c r="G63" s="32">
        <v>2023</v>
      </c>
      <c r="H63" s="32">
        <v>2024</v>
      </c>
      <c r="I63" s="32">
        <v>2025</v>
      </c>
      <c r="J63" s="32">
        <v>2026</v>
      </c>
      <c r="K63" s="32">
        <v>2027</v>
      </c>
      <c r="L63" s="32">
        <v>2028</v>
      </c>
      <c r="M63" s="32">
        <v>2029</v>
      </c>
      <c r="N63" s="32">
        <v>2030</v>
      </c>
      <c r="O63" s="32">
        <v>2031</v>
      </c>
      <c r="P63" s="32">
        <v>2032</v>
      </c>
      <c r="Q63" s="32">
        <v>2033</v>
      </c>
      <c r="R63" s="32">
        <v>2034</v>
      </c>
      <c r="S63" s="32">
        <v>2035</v>
      </c>
      <c r="T63" s="32" t="s">
        <v>70</v>
      </c>
    </row>
    <row r="64" spans="1:20" s="33" customFormat="1" ht="63" x14ac:dyDescent="0.25">
      <c r="A64" s="70" t="s">
        <v>189</v>
      </c>
      <c r="B64" s="70" t="s">
        <v>71</v>
      </c>
      <c r="C64" s="70" t="s">
        <v>72</v>
      </c>
      <c r="D64" s="70" t="s">
        <v>73</v>
      </c>
      <c r="E64" s="71">
        <f>SUM(F64:S64)</f>
        <v>83793.107551764711</v>
      </c>
      <c r="F64" s="72">
        <f>F65+F66</f>
        <v>0</v>
      </c>
      <c r="G64" s="72">
        <f t="shared" ref="G64:S64" si="1">G65+G66</f>
        <v>42173.851711764706</v>
      </c>
      <c r="H64" s="72">
        <f t="shared" si="1"/>
        <v>0</v>
      </c>
      <c r="I64" s="72">
        <f t="shared" si="1"/>
        <v>20809.627920000003</v>
      </c>
      <c r="J64" s="72">
        <f t="shared" si="1"/>
        <v>0</v>
      </c>
      <c r="K64" s="72">
        <f t="shared" si="1"/>
        <v>0</v>
      </c>
      <c r="L64" s="72">
        <f t="shared" si="1"/>
        <v>0</v>
      </c>
      <c r="M64" s="72">
        <f t="shared" si="1"/>
        <v>20809.627920000003</v>
      </c>
      <c r="N64" s="72">
        <f t="shared" si="1"/>
        <v>0</v>
      </c>
      <c r="O64" s="72">
        <f t="shared" si="1"/>
        <v>0</v>
      </c>
      <c r="P64" s="72">
        <f t="shared" si="1"/>
        <v>0</v>
      </c>
      <c r="Q64" s="72">
        <f t="shared" si="1"/>
        <v>0</v>
      </c>
      <c r="R64" s="72">
        <f t="shared" si="1"/>
        <v>0</v>
      </c>
      <c r="S64" s="72">
        <f t="shared" si="1"/>
        <v>0</v>
      </c>
      <c r="T64" s="36">
        <f>T65+T66</f>
        <v>83793.107551764711</v>
      </c>
    </row>
    <row r="65" spans="1:20" s="33" customFormat="1" ht="31.5" x14ac:dyDescent="0.25">
      <c r="A65" s="34" t="s">
        <v>174</v>
      </c>
      <c r="B65" s="34"/>
      <c r="C65" s="34"/>
      <c r="D65" s="34"/>
      <c r="E65" s="68"/>
      <c r="F65" s="68">
        <f t="shared" ref="F65:S65" si="2">(IF(F7=0,0,IF(F27=0,((F32-(F30-F7)*(F32-F31)/(F30-F29))*F7),F27*F7)))*$E$59*$E$60*$E$61*$E$62</f>
        <v>0</v>
      </c>
      <c r="G65" s="68">
        <f t="shared" si="2"/>
        <v>42173.851711764706</v>
      </c>
      <c r="H65" s="68">
        <f t="shared" si="2"/>
        <v>0</v>
      </c>
      <c r="I65" s="68">
        <f t="shared" si="2"/>
        <v>0</v>
      </c>
      <c r="J65" s="68">
        <f t="shared" si="2"/>
        <v>0</v>
      </c>
      <c r="K65" s="68">
        <f t="shared" si="2"/>
        <v>0</v>
      </c>
      <c r="L65" s="68">
        <f t="shared" si="2"/>
        <v>0</v>
      </c>
      <c r="M65" s="68">
        <f t="shared" si="2"/>
        <v>0</v>
      </c>
      <c r="N65" s="68">
        <f t="shared" si="2"/>
        <v>0</v>
      </c>
      <c r="O65" s="68">
        <f t="shared" si="2"/>
        <v>0</v>
      </c>
      <c r="P65" s="68">
        <f t="shared" si="2"/>
        <v>0</v>
      </c>
      <c r="Q65" s="68">
        <f t="shared" si="2"/>
        <v>0</v>
      </c>
      <c r="R65" s="68">
        <f t="shared" si="2"/>
        <v>0</v>
      </c>
      <c r="S65" s="68">
        <f t="shared" si="2"/>
        <v>0</v>
      </c>
      <c r="T65" s="36">
        <f>SUM(F65:S65)</f>
        <v>42173.851711764706</v>
      </c>
    </row>
    <row r="66" spans="1:20" s="33" customFormat="1" ht="47.25" x14ac:dyDescent="0.25">
      <c r="A66" s="34" t="s">
        <v>188</v>
      </c>
      <c r="B66" s="34"/>
      <c r="C66" s="34"/>
      <c r="D66" s="34"/>
      <c r="E66" s="43"/>
      <c r="F66" s="68">
        <f t="shared" ref="F66:S66" si="3">(IF(F10=0,0,IF(F27=0,((F32-(F30-F10)*(F32-F31)/(F30-F29))*F10),F27*F10)))*$E$59*$E$60*$E$61*$E$62</f>
        <v>0</v>
      </c>
      <c r="G66" s="68">
        <f t="shared" si="3"/>
        <v>0</v>
      </c>
      <c r="H66" s="68">
        <f t="shared" si="3"/>
        <v>0</v>
      </c>
      <c r="I66" s="68">
        <f t="shared" si="3"/>
        <v>20809.627920000003</v>
      </c>
      <c r="J66" s="68">
        <f t="shared" si="3"/>
        <v>0</v>
      </c>
      <c r="K66" s="68">
        <f t="shared" si="3"/>
        <v>0</v>
      </c>
      <c r="L66" s="68">
        <f t="shared" si="3"/>
        <v>0</v>
      </c>
      <c r="M66" s="68">
        <f t="shared" si="3"/>
        <v>20809.627920000003</v>
      </c>
      <c r="N66" s="68">
        <f t="shared" si="3"/>
        <v>0</v>
      </c>
      <c r="O66" s="68">
        <f t="shared" si="3"/>
        <v>0</v>
      </c>
      <c r="P66" s="68">
        <f t="shared" si="3"/>
        <v>0</v>
      </c>
      <c r="Q66" s="68">
        <f t="shared" si="3"/>
        <v>0</v>
      </c>
      <c r="R66" s="68">
        <f t="shared" si="3"/>
        <v>0</v>
      </c>
      <c r="S66" s="68">
        <f t="shared" si="3"/>
        <v>0</v>
      </c>
      <c r="T66" s="36">
        <f>SUM(F66:S66)</f>
        <v>41619.255840000005</v>
      </c>
    </row>
    <row r="67" spans="1:20" s="33" customFormat="1" ht="63" x14ac:dyDescent="0.25">
      <c r="A67" s="70" t="s">
        <v>190</v>
      </c>
      <c r="B67" s="70"/>
      <c r="C67" s="70"/>
      <c r="D67" s="70"/>
      <c r="E67" s="71">
        <f>SUM(F67:S67)</f>
        <v>147140.57229283021</v>
      </c>
      <c r="F67" s="71">
        <f>F68+F69</f>
        <v>0</v>
      </c>
      <c r="G67" s="71">
        <f t="shared" ref="G67:S67" si="4">G68+G69</f>
        <v>0</v>
      </c>
      <c r="H67" s="71">
        <f t="shared" si="4"/>
        <v>58196.940272830194</v>
      </c>
      <c r="I67" s="71">
        <f t="shared" si="4"/>
        <v>0</v>
      </c>
      <c r="J67" s="71">
        <f t="shared" si="4"/>
        <v>31196.9709</v>
      </c>
      <c r="K67" s="71">
        <f t="shared" si="4"/>
        <v>0</v>
      </c>
      <c r="L67" s="71">
        <f t="shared" si="4"/>
        <v>57746.661120000004</v>
      </c>
      <c r="M67" s="71">
        <f t="shared" si="4"/>
        <v>0</v>
      </c>
      <c r="N67" s="71">
        <f t="shared" si="4"/>
        <v>0</v>
      </c>
      <c r="O67" s="71">
        <f t="shared" si="4"/>
        <v>0</v>
      </c>
      <c r="P67" s="71">
        <f t="shared" si="4"/>
        <v>0</v>
      </c>
      <c r="Q67" s="71">
        <f t="shared" si="4"/>
        <v>0</v>
      </c>
      <c r="R67" s="71">
        <f t="shared" si="4"/>
        <v>0</v>
      </c>
      <c r="S67" s="71">
        <f t="shared" si="4"/>
        <v>0</v>
      </c>
      <c r="T67" s="36">
        <f>T68+T69</f>
        <v>147140.57229283021</v>
      </c>
    </row>
    <row r="68" spans="1:20" s="33" customFormat="1" ht="31.5" x14ac:dyDescent="0.25">
      <c r="A68" s="34" t="s">
        <v>255</v>
      </c>
      <c r="B68" s="34"/>
      <c r="C68" s="34"/>
      <c r="D68" s="34"/>
      <c r="E68" s="43"/>
      <c r="F68" s="43">
        <f t="shared" ref="F68:S68" si="5">(IF(F12=0,0,IF(F33=0,((F38-(F36-F12)*(F38-F37)/(F36-F35))*F12),F33*F12)))*$E$59*$E$60*$E$61*$E$62</f>
        <v>0</v>
      </c>
      <c r="G68" s="43">
        <f t="shared" si="5"/>
        <v>0</v>
      </c>
      <c r="H68" s="43">
        <f t="shared" si="5"/>
        <v>58196.940272830194</v>
      </c>
      <c r="I68" s="43">
        <f t="shared" si="5"/>
        <v>0</v>
      </c>
      <c r="J68" s="43">
        <f t="shared" si="5"/>
        <v>0</v>
      </c>
      <c r="K68" s="43">
        <f t="shared" si="5"/>
        <v>0</v>
      </c>
      <c r="L68" s="43">
        <f t="shared" si="5"/>
        <v>28873.330560000002</v>
      </c>
      <c r="M68" s="43">
        <f t="shared" si="5"/>
        <v>0</v>
      </c>
      <c r="N68" s="43">
        <f t="shared" si="5"/>
        <v>0</v>
      </c>
      <c r="O68" s="43">
        <f t="shared" si="5"/>
        <v>0</v>
      </c>
      <c r="P68" s="43">
        <f t="shared" si="5"/>
        <v>0</v>
      </c>
      <c r="Q68" s="43">
        <f t="shared" si="5"/>
        <v>0</v>
      </c>
      <c r="R68" s="43">
        <f t="shared" si="5"/>
        <v>0</v>
      </c>
      <c r="S68" s="43">
        <f t="shared" si="5"/>
        <v>0</v>
      </c>
      <c r="T68" s="36">
        <f>SUM(F68:S68)</f>
        <v>87070.270832830196</v>
      </c>
    </row>
    <row r="69" spans="1:20" s="33" customFormat="1" ht="47.25" x14ac:dyDescent="0.25">
      <c r="A69" s="34" t="s">
        <v>256</v>
      </c>
      <c r="B69" s="34"/>
      <c r="C69" s="34"/>
      <c r="D69" s="34"/>
      <c r="E69" s="43"/>
      <c r="F69" s="43">
        <f t="shared" ref="F69:S69" si="6">(IF(F15=0,0,IF(F33=0,((F38-(F36-F15)*(F38-F37)/(F36-F35))*F15),F33*F15)))*$E$59*$E$60*$E$61*$E$62</f>
        <v>0</v>
      </c>
      <c r="G69" s="43">
        <f t="shared" si="6"/>
        <v>0</v>
      </c>
      <c r="H69" s="43">
        <f t="shared" si="6"/>
        <v>0</v>
      </c>
      <c r="I69" s="43">
        <f t="shared" si="6"/>
        <v>0</v>
      </c>
      <c r="J69" s="43">
        <f t="shared" si="6"/>
        <v>31196.9709</v>
      </c>
      <c r="K69" s="43">
        <f t="shared" si="6"/>
        <v>0</v>
      </c>
      <c r="L69" s="43">
        <f t="shared" si="6"/>
        <v>28873.330560000002</v>
      </c>
      <c r="M69" s="43">
        <f t="shared" si="6"/>
        <v>0</v>
      </c>
      <c r="N69" s="43">
        <f t="shared" si="6"/>
        <v>0</v>
      </c>
      <c r="O69" s="43">
        <f t="shared" si="6"/>
        <v>0</v>
      </c>
      <c r="P69" s="43">
        <f t="shared" si="6"/>
        <v>0</v>
      </c>
      <c r="Q69" s="43">
        <f t="shared" si="6"/>
        <v>0</v>
      </c>
      <c r="R69" s="43">
        <f t="shared" si="6"/>
        <v>0</v>
      </c>
      <c r="S69" s="43">
        <f t="shared" si="6"/>
        <v>0</v>
      </c>
      <c r="T69" s="36">
        <f>SUM(F69:S69)</f>
        <v>60070.301460000002</v>
      </c>
    </row>
    <row r="70" spans="1:20" s="33" customFormat="1" ht="63" x14ac:dyDescent="0.25">
      <c r="A70" s="70" t="s">
        <v>191</v>
      </c>
      <c r="B70" s="70"/>
      <c r="C70" s="70"/>
      <c r="D70" s="70"/>
      <c r="E70" s="71">
        <f>SUM(F70:S70)</f>
        <v>85415.666324999998</v>
      </c>
      <c r="F70" s="71">
        <f>F71+F72</f>
        <v>0</v>
      </c>
      <c r="G70" s="71">
        <f t="shared" ref="G70:S70" si="7">G71+G72</f>
        <v>0</v>
      </c>
      <c r="H70" s="71">
        <f t="shared" si="7"/>
        <v>0</v>
      </c>
      <c r="I70" s="71">
        <f t="shared" si="7"/>
        <v>0</v>
      </c>
      <c r="J70" s="71">
        <f t="shared" si="7"/>
        <v>47633.263125000005</v>
      </c>
      <c r="K70" s="71">
        <f t="shared" si="7"/>
        <v>0</v>
      </c>
      <c r="L70" s="71">
        <f t="shared" si="7"/>
        <v>0</v>
      </c>
      <c r="M70" s="71">
        <f t="shared" si="7"/>
        <v>0</v>
      </c>
      <c r="N70" s="71">
        <f t="shared" si="7"/>
        <v>37782.403200000001</v>
      </c>
      <c r="O70" s="71">
        <f t="shared" si="7"/>
        <v>0</v>
      </c>
      <c r="P70" s="71">
        <f t="shared" si="7"/>
        <v>0</v>
      </c>
      <c r="Q70" s="71">
        <f t="shared" si="7"/>
        <v>0</v>
      </c>
      <c r="R70" s="71">
        <f t="shared" si="7"/>
        <v>0</v>
      </c>
      <c r="S70" s="71">
        <f t="shared" si="7"/>
        <v>0</v>
      </c>
      <c r="T70" s="36">
        <f>T71+T72</f>
        <v>85415.666324999998</v>
      </c>
    </row>
    <row r="71" spans="1:20" s="33" customFormat="1" ht="31.5" x14ac:dyDescent="0.25">
      <c r="A71" s="34" t="s">
        <v>257</v>
      </c>
      <c r="B71" s="34"/>
      <c r="C71" s="34"/>
      <c r="D71" s="34"/>
      <c r="E71" s="43"/>
      <c r="F71" s="43">
        <f t="shared" ref="F71:S71" si="8">(IF(F17=0,0,IF(F39=0,((F44-(F42-F17)*(F44-F43)/(F42-F41))*F17),F39*F17)))*$E$59*$E$60*$E$61*$E$62</f>
        <v>0</v>
      </c>
      <c r="G71" s="43">
        <f t="shared" si="8"/>
        <v>0</v>
      </c>
      <c r="H71" s="43">
        <f t="shared" si="8"/>
        <v>0</v>
      </c>
      <c r="I71" s="43">
        <f t="shared" si="8"/>
        <v>0</v>
      </c>
      <c r="J71" s="43">
        <f t="shared" si="8"/>
        <v>0</v>
      </c>
      <c r="K71" s="43">
        <f t="shared" si="8"/>
        <v>0</v>
      </c>
      <c r="L71" s="43">
        <f t="shared" si="8"/>
        <v>0</v>
      </c>
      <c r="M71" s="43">
        <f t="shared" si="8"/>
        <v>0</v>
      </c>
      <c r="N71" s="43">
        <f t="shared" si="8"/>
        <v>37782.403200000001</v>
      </c>
      <c r="O71" s="43">
        <f t="shared" si="8"/>
        <v>0</v>
      </c>
      <c r="P71" s="43">
        <f t="shared" si="8"/>
        <v>0</v>
      </c>
      <c r="Q71" s="43">
        <f t="shared" si="8"/>
        <v>0</v>
      </c>
      <c r="R71" s="43">
        <f t="shared" si="8"/>
        <v>0</v>
      </c>
      <c r="S71" s="43">
        <f t="shared" si="8"/>
        <v>0</v>
      </c>
      <c r="T71" s="36">
        <f>SUM(F71:S71)</f>
        <v>37782.403200000001</v>
      </c>
    </row>
    <row r="72" spans="1:20" s="33" customFormat="1" ht="47.25" x14ac:dyDescent="0.25">
      <c r="A72" s="34" t="s">
        <v>258</v>
      </c>
      <c r="B72" s="34"/>
      <c r="C72" s="34"/>
      <c r="D72" s="34"/>
      <c r="E72" s="43"/>
      <c r="F72" s="43">
        <f t="shared" ref="F72:S72" si="9">(IF(F18=0,0,IF(F39=0,((F44-(F42-F18)*(F44-F43)/(F42-F41))*F18),F39*F18)))*$E$59*$E$60*$E$61*$E$62</f>
        <v>0</v>
      </c>
      <c r="G72" s="43">
        <f t="shared" si="9"/>
        <v>0</v>
      </c>
      <c r="H72" s="43">
        <f t="shared" si="9"/>
        <v>0</v>
      </c>
      <c r="I72" s="43">
        <f t="shared" si="9"/>
        <v>0</v>
      </c>
      <c r="J72" s="43">
        <f t="shared" si="9"/>
        <v>47633.263125000005</v>
      </c>
      <c r="K72" s="43">
        <f t="shared" si="9"/>
        <v>0</v>
      </c>
      <c r="L72" s="43">
        <f t="shared" si="9"/>
        <v>0</v>
      </c>
      <c r="M72" s="43">
        <f t="shared" si="9"/>
        <v>0</v>
      </c>
      <c r="N72" s="43">
        <f t="shared" si="9"/>
        <v>0</v>
      </c>
      <c r="O72" s="43">
        <f t="shared" si="9"/>
        <v>0</v>
      </c>
      <c r="P72" s="43">
        <f t="shared" si="9"/>
        <v>0</v>
      </c>
      <c r="Q72" s="43">
        <f t="shared" si="9"/>
        <v>0</v>
      </c>
      <c r="R72" s="43">
        <f t="shared" si="9"/>
        <v>0</v>
      </c>
      <c r="S72" s="43">
        <f t="shared" si="9"/>
        <v>0</v>
      </c>
      <c r="T72" s="36">
        <f>SUM(F72:S72)</f>
        <v>47633.263125000005</v>
      </c>
    </row>
    <row r="73" spans="1:20" s="33" customFormat="1" ht="47.25" x14ac:dyDescent="0.25">
      <c r="A73" s="70" t="s">
        <v>259</v>
      </c>
      <c r="B73" s="70"/>
      <c r="C73" s="70"/>
      <c r="D73" s="70"/>
      <c r="E73" s="71">
        <f>SUM(F73:S73)</f>
        <v>11941.884480000001</v>
      </c>
      <c r="F73" s="71">
        <f>F74+F75</f>
        <v>0</v>
      </c>
      <c r="G73" s="71">
        <f t="shared" ref="G73:S73" si="10">G74+G75</f>
        <v>0</v>
      </c>
      <c r="H73" s="71">
        <f t="shared" si="10"/>
        <v>11941.884480000001</v>
      </c>
      <c r="I73" s="71">
        <f t="shared" si="10"/>
        <v>0</v>
      </c>
      <c r="J73" s="71">
        <f t="shared" si="10"/>
        <v>0</v>
      </c>
      <c r="K73" s="71">
        <f t="shared" si="10"/>
        <v>0</v>
      </c>
      <c r="L73" s="71">
        <f t="shared" si="10"/>
        <v>0</v>
      </c>
      <c r="M73" s="71">
        <f t="shared" si="10"/>
        <v>0</v>
      </c>
      <c r="N73" s="71">
        <f t="shared" si="10"/>
        <v>0</v>
      </c>
      <c r="O73" s="71">
        <f t="shared" si="10"/>
        <v>0</v>
      </c>
      <c r="P73" s="71">
        <f t="shared" si="10"/>
        <v>0</v>
      </c>
      <c r="Q73" s="71">
        <f t="shared" si="10"/>
        <v>0</v>
      </c>
      <c r="R73" s="71">
        <f t="shared" si="10"/>
        <v>0</v>
      </c>
      <c r="S73" s="71">
        <f t="shared" si="10"/>
        <v>0</v>
      </c>
      <c r="T73" s="36">
        <f>T74+T75</f>
        <v>11941.884480000001</v>
      </c>
    </row>
    <row r="74" spans="1:20" s="33" customFormat="1" ht="31.5" x14ac:dyDescent="0.25">
      <c r="A74" s="34" t="s">
        <v>260</v>
      </c>
      <c r="B74" s="34"/>
      <c r="C74" s="34"/>
      <c r="D74" s="34"/>
      <c r="E74" s="43"/>
      <c r="F74" s="43">
        <f t="shared" ref="F74:S74" si="11">IF(F20=0,0,F45*F20)*$E$59*$E$60*$E$61*$E$62</f>
        <v>0</v>
      </c>
      <c r="G74" s="43">
        <f t="shared" si="11"/>
        <v>0</v>
      </c>
      <c r="H74" s="43">
        <f t="shared" si="11"/>
        <v>11941.884480000001</v>
      </c>
      <c r="I74" s="43">
        <f t="shared" si="11"/>
        <v>0</v>
      </c>
      <c r="J74" s="43">
        <f t="shared" si="11"/>
        <v>0</v>
      </c>
      <c r="K74" s="43">
        <f t="shared" si="11"/>
        <v>0</v>
      </c>
      <c r="L74" s="43">
        <f t="shared" si="11"/>
        <v>0</v>
      </c>
      <c r="M74" s="43">
        <f t="shared" si="11"/>
        <v>0</v>
      </c>
      <c r="N74" s="43">
        <f t="shared" si="11"/>
        <v>0</v>
      </c>
      <c r="O74" s="43">
        <f t="shared" si="11"/>
        <v>0</v>
      </c>
      <c r="P74" s="43">
        <f t="shared" si="11"/>
        <v>0</v>
      </c>
      <c r="Q74" s="43">
        <f t="shared" si="11"/>
        <v>0</v>
      </c>
      <c r="R74" s="43">
        <f t="shared" si="11"/>
        <v>0</v>
      </c>
      <c r="S74" s="43">
        <f t="shared" si="11"/>
        <v>0</v>
      </c>
      <c r="T74" s="36">
        <f>SUM(F74:S74)</f>
        <v>11941.884480000001</v>
      </c>
    </row>
    <row r="75" spans="1:20" s="33" customFormat="1" ht="31.5" x14ac:dyDescent="0.25">
      <c r="A75" s="34" t="s">
        <v>261</v>
      </c>
      <c r="B75" s="13"/>
      <c r="C75" s="13"/>
      <c r="D75" s="13"/>
      <c r="E75" s="69"/>
      <c r="F75" s="43">
        <f t="shared" ref="F75:S75" si="12">IF(F21=0,0,F45*F21)*$E$59*$E$60*$E$61*$E$62</f>
        <v>0</v>
      </c>
      <c r="G75" s="43">
        <f t="shared" si="12"/>
        <v>0</v>
      </c>
      <c r="H75" s="43">
        <f t="shared" si="12"/>
        <v>0</v>
      </c>
      <c r="I75" s="43">
        <f t="shared" si="12"/>
        <v>0</v>
      </c>
      <c r="J75" s="43">
        <f t="shared" si="12"/>
        <v>0</v>
      </c>
      <c r="K75" s="43">
        <f t="shared" si="12"/>
        <v>0</v>
      </c>
      <c r="L75" s="43">
        <f t="shared" si="12"/>
        <v>0</v>
      </c>
      <c r="M75" s="43">
        <f t="shared" si="12"/>
        <v>0</v>
      </c>
      <c r="N75" s="43">
        <f t="shared" si="12"/>
        <v>0</v>
      </c>
      <c r="O75" s="43">
        <f t="shared" si="12"/>
        <v>0</v>
      </c>
      <c r="P75" s="43">
        <f t="shared" si="12"/>
        <v>0</v>
      </c>
      <c r="Q75" s="43">
        <f t="shared" si="12"/>
        <v>0</v>
      </c>
      <c r="R75" s="43">
        <f t="shared" si="12"/>
        <v>0</v>
      </c>
      <c r="S75" s="43">
        <f t="shared" si="12"/>
        <v>0</v>
      </c>
      <c r="T75" s="36">
        <f>SUM(F75:S75)</f>
        <v>0</v>
      </c>
    </row>
    <row r="76" spans="1:20" s="33" customFormat="1" ht="63" x14ac:dyDescent="0.25">
      <c r="A76" s="61" t="s">
        <v>329</v>
      </c>
      <c r="B76" s="61"/>
      <c r="C76" s="61"/>
      <c r="D76" s="61"/>
      <c r="E76" s="72">
        <f>SUM(F76:S76)</f>
        <v>9429.0810476190491</v>
      </c>
      <c r="F76" s="71">
        <f t="shared" ref="F76:S76" si="13">(IF(F22=0,0,IF(F46=0,((F51-(F49-F22)*(F51-F50)/(F49-F48))*F22),F46*F22)))*$E$59*$E$60*$E$61*$E$62</f>
        <v>0</v>
      </c>
      <c r="G76" s="71">
        <f t="shared" si="13"/>
        <v>6721.213333333334</v>
      </c>
      <c r="H76" s="71">
        <f t="shared" si="13"/>
        <v>0</v>
      </c>
      <c r="I76" s="71">
        <f t="shared" si="13"/>
        <v>0</v>
      </c>
      <c r="J76" s="71">
        <f t="shared" si="13"/>
        <v>0</v>
      </c>
      <c r="K76" s="71">
        <f t="shared" si="13"/>
        <v>0</v>
      </c>
      <c r="L76" s="71">
        <f t="shared" si="13"/>
        <v>0</v>
      </c>
      <c r="M76" s="71">
        <f t="shared" si="13"/>
        <v>0</v>
      </c>
      <c r="N76" s="71">
        <f t="shared" si="13"/>
        <v>2707.867714285715</v>
      </c>
      <c r="O76" s="71">
        <f t="shared" si="13"/>
        <v>0</v>
      </c>
      <c r="P76" s="71">
        <f t="shared" si="13"/>
        <v>0</v>
      </c>
      <c r="Q76" s="71">
        <f t="shared" si="13"/>
        <v>0</v>
      </c>
      <c r="R76" s="71">
        <f t="shared" si="13"/>
        <v>0</v>
      </c>
      <c r="S76" s="71">
        <f t="shared" si="13"/>
        <v>0</v>
      </c>
      <c r="T76" s="36">
        <f>SUM(F76:S76)</f>
        <v>9429.0810476190491</v>
      </c>
    </row>
    <row r="77" spans="1:20" s="33" customFormat="1" ht="63" x14ac:dyDescent="0.25">
      <c r="A77" s="61" t="s">
        <v>262</v>
      </c>
      <c r="B77" s="61"/>
      <c r="C77" s="61"/>
      <c r="D77" s="61"/>
      <c r="E77" s="73">
        <f>SUM(F77:S77)</f>
        <v>23593.337400000004</v>
      </c>
      <c r="F77" s="72">
        <f>F78+F79</f>
        <v>0</v>
      </c>
      <c r="G77" s="72">
        <f t="shared" ref="G77:S77" si="14">G78+G79</f>
        <v>0</v>
      </c>
      <c r="H77" s="72">
        <f t="shared" si="14"/>
        <v>9165.6894000000011</v>
      </c>
      <c r="I77" s="72">
        <f t="shared" si="14"/>
        <v>0</v>
      </c>
      <c r="J77" s="72">
        <f t="shared" si="14"/>
        <v>0</v>
      </c>
      <c r="K77" s="72">
        <f t="shared" si="14"/>
        <v>0</v>
      </c>
      <c r="L77" s="72">
        <f t="shared" si="14"/>
        <v>0</v>
      </c>
      <c r="M77" s="72">
        <f t="shared" si="14"/>
        <v>14427.648000000001</v>
      </c>
      <c r="N77" s="72">
        <f t="shared" si="14"/>
        <v>0</v>
      </c>
      <c r="O77" s="72">
        <f t="shared" si="14"/>
        <v>0</v>
      </c>
      <c r="P77" s="72">
        <f t="shared" si="14"/>
        <v>0</v>
      </c>
      <c r="Q77" s="72">
        <f t="shared" si="14"/>
        <v>0</v>
      </c>
      <c r="R77" s="72">
        <f t="shared" si="14"/>
        <v>0</v>
      </c>
      <c r="S77" s="72">
        <f t="shared" si="14"/>
        <v>0</v>
      </c>
      <c r="T77" s="36">
        <f>T78+T79</f>
        <v>23593.337400000004</v>
      </c>
    </row>
    <row r="78" spans="1:20" s="33" customFormat="1" ht="47.25" x14ac:dyDescent="0.25">
      <c r="A78" s="13" t="s">
        <v>263</v>
      </c>
      <c r="B78" s="13"/>
      <c r="C78" s="13"/>
      <c r="D78" s="13"/>
      <c r="E78" s="69"/>
      <c r="F78" s="43">
        <f t="shared" ref="F78:S78" si="15">(IF(F24=0,0,IF(F52=0,((F57-(F55-F24)*(F57-F56)/(F55-F54))*F24),F52*F24)))*$E$59*$E$60*$E$61*$E$62</f>
        <v>0</v>
      </c>
      <c r="G78" s="43">
        <f t="shared" si="15"/>
        <v>0</v>
      </c>
      <c r="H78" s="43">
        <f t="shared" si="15"/>
        <v>9165.6894000000011</v>
      </c>
      <c r="I78" s="43">
        <f t="shared" si="15"/>
        <v>0</v>
      </c>
      <c r="J78" s="43">
        <f t="shared" si="15"/>
        <v>0</v>
      </c>
      <c r="K78" s="43">
        <f t="shared" si="15"/>
        <v>0</v>
      </c>
      <c r="L78" s="43">
        <f t="shared" si="15"/>
        <v>0</v>
      </c>
      <c r="M78" s="43">
        <f t="shared" si="15"/>
        <v>0</v>
      </c>
      <c r="N78" s="43">
        <f t="shared" si="15"/>
        <v>0</v>
      </c>
      <c r="O78" s="43">
        <f t="shared" si="15"/>
        <v>0</v>
      </c>
      <c r="P78" s="43">
        <f t="shared" si="15"/>
        <v>0</v>
      </c>
      <c r="Q78" s="43">
        <f t="shared" si="15"/>
        <v>0</v>
      </c>
      <c r="R78" s="43">
        <f t="shared" si="15"/>
        <v>0</v>
      </c>
      <c r="S78" s="43">
        <f t="shared" si="15"/>
        <v>0</v>
      </c>
      <c r="T78" s="36">
        <f>SUM(F78:S78)</f>
        <v>9165.6894000000011</v>
      </c>
    </row>
    <row r="79" spans="1:20" s="33" customFormat="1" ht="47.25" x14ac:dyDescent="0.25">
      <c r="A79" s="13" t="s">
        <v>264</v>
      </c>
      <c r="B79" s="13"/>
      <c r="C79" s="13"/>
      <c r="D79" s="13"/>
      <c r="E79" s="69"/>
      <c r="F79" s="43">
        <f t="shared" ref="F79:S79" si="16">(IF(F25=0,0,IF(F52=0,((F57-(F55-F25)*(F57-F56)/(F55-F54))*F25),F52*F25)))*$E$59*$E$60*$E$61*$E$62</f>
        <v>0</v>
      </c>
      <c r="G79" s="43">
        <f t="shared" si="16"/>
        <v>0</v>
      </c>
      <c r="H79" s="43">
        <f t="shared" si="16"/>
        <v>0</v>
      </c>
      <c r="I79" s="43">
        <f t="shared" si="16"/>
        <v>0</v>
      </c>
      <c r="J79" s="43">
        <f t="shared" si="16"/>
        <v>0</v>
      </c>
      <c r="K79" s="43">
        <f t="shared" si="16"/>
        <v>0</v>
      </c>
      <c r="L79" s="43">
        <f t="shared" si="16"/>
        <v>0</v>
      </c>
      <c r="M79" s="43">
        <f t="shared" si="16"/>
        <v>14427.648000000001</v>
      </c>
      <c r="N79" s="43">
        <f t="shared" si="16"/>
        <v>0</v>
      </c>
      <c r="O79" s="43">
        <f t="shared" si="16"/>
        <v>0</v>
      </c>
      <c r="P79" s="43">
        <f t="shared" si="16"/>
        <v>0</v>
      </c>
      <c r="Q79" s="43">
        <f t="shared" si="16"/>
        <v>0</v>
      </c>
      <c r="R79" s="43">
        <f t="shared" si="16"/>
        <v>0</v>
      </c>
      <c r="S79" s="43">
        <f t="shared" si="16"/>
        <v>0</v>
      </c>
      <c r="T79" s="36">
        <f>SUM(F79:S79)</f>
        <v>14427.648000000001</v>
      </c>
    </row>
    <row r="80" spans="1:20" s="33" customFormat="1" ht="78.75" x14ac:dyDescent="0.25">
      <c r="A80" s="70" t="s">
        <v>330</v>
      </c>
      <c r="B80" s="70"/>
      <c r="C80" s="61"/>
      <c r="D80" s="61"/>
      <c r="E80" s="71">
        <f>SUM(F80:S80)</f>
        <v>361313.64909721399</v>
      </c>
      <c r="F80" s="71">
        <f t="shared" ref="F80:T80" si="17">F64+F67+F70+F73+F76+F77</f>
        <v>0</v>
      </c>
      <c r="G80" s="71">
        <f t="shared" si="17"/>
        <v>48895.065045098039</v>
      </c>
      <c r="H80" s="71">
        <f t="shared" si="17"/>
        <v>79304.514152830205</v>
      </c>
      <c r="I80" s="71">
        <f t="shared" si="17"/>
        <v>20809.627920000003</v>
      </c>
      <c r="J80" s="71">
        <f t="shared" si="17"/>
        <v>78830.234025000012</v>
      </c>
      <c r="K80" s="71">
        <f t="shared" si="17"/>
        <v>0</v>
      </c>
      <c r="L80" s="71">
        <f t="shared" si="17"/>
        <v>57746.661120000004</v>
      </c>
      <c r="M80" s="71">
        <f t="shared" si="17"/>
        <v>35237.27592</v>
      </c>
      <c r="N80" s="71">
        <f t="shared" si="17"/>
        <v>40490.270914285713</v>
      </c>
      <c r="O80" s="71">
        <f t="shared" si="17"/>
        <v>0</v>
      </c>
      <c r="P80" s="71">
        <f t="shared" si="17"/>
        <v>0</v>
      </c>
      <c r="Q80" s="71">
        <f t="shared" si="17"/>
        <v>0</v>
      </c>
      <c r="R80" s="71">
        <f t="shared" si="17"/>
        <v>0</v>
      </c>
      <c r="S80" s="71">
        <f t="shared" si="17"/>
        <v>0</v>
      </c>
      <c r="T80" s="36">
        <f t="shared" si="17"/>
        <v>361313.64909721399</v>
      </c>
    </row>
    <row r="81" spans="1:20" x14ac:dyDescent="0.25">
      <c r="A81" s="7" t="s">
        <v>79</v>
      </c>
      <c r="B81" s="31"/>
      <c r="C81" s="31"/>
      <c r="D81" s="31"/>
      <c r="E81" s="31"/>
      <c r="F81" s="32">
        <v>2022</v>
      </c>
      <c r="G81" s="32">
        <v>2023</v>
      </c>
      <c r="H81" s="32">
        <v>2024</v>
      </c>
      <c r="I81" s="32">
        <v>2025</v>
      </c>
      <c r="J81" s="32">
        <v>2026</v>
      </c>
      <c r="K81" s="32">
        <v>2027</v>
      </c>
      <c r="L81" s="32">
        <v>2028</v>
      </c>
      <c r="M81" s="32">
        <v>2029</v>
      </c>
      <c r="N81" s="32">
        <v>2030</v>
      </c>
      <c r="O81" s="32">
        <v>2031</v>
      </c>
      <c r="P81" s="32">
        <v>2032</v>
      </c>
      <c r="Q81" s="32">
        <v>2033</v>
      </c>
      <c r="R81" s="32">
        <v>2034</v>
      </c>
      <c r="S81" s="32">
        <v>2035</v>
      </c>
      <c r="T81" s="32" t="s">
        <v>70</v>
      </c>
    </row>
    <row r="82" spans="1:20" ht="126" x14ac:dyDescent="0.25">
      <c r="A82" s="39" t="s">
        <v>332</v>
      </c>
      <c r="B82" s="40" t="s">
        <v>81</v>
      </c>
      <c r="C82" s="13" t="s">
        <v>192</v>
      </c>
      <c r="D82" s="13" t="s">
        <v>82</v>
      </c>
      <c r="E82" s="14">
        <v>106</v>
      </c>
      <c r="F82" s="14">
        <v>104</v>
      </c>
      <c r="G82" s="14">
        <v>104</v>
      </c>
      <c r="H82" s="14">
        <v>104</v>
      </c>
      <c r="I82" s="14">
        <v>104</v>
      </c>
      <c r="J82" s="14">
        <v>104</v>
      </c>
      <c r="K82" s="14">
        <v>104</v>
      </c>
      <c r="L82" s="14">
        <v>104</v>
      </c>
      <c r="M82" s="14">
        <v>104</v>
      </c>
      <c r="N82" s="14">
        <v>104</v>
      </c>
      <c r="O82" s="14">
        <v>104</v>
      </c>
      <c r="P82" s="14">
        <v>104</v>
      </c>
      <c r="Q82" s="14">
        <v>104</v>
      </c>
      <c r="R82" s="14">
        <v>104</v>
      </c>
      <c r="S82" s="14">
        <v>104</v>
      </c>
      <c r="T82" s="36"/>
    </row>
    <row r="83" spans="1:20" ht="47.25" x14ac:dyDescent="0.25">
      <c r="A83" s="39" t="s">
        <v>265</v>
      </c>
      <c r="B83" s="40" t="s">
        <v>350</v>
      </c>
      <c r="C83" s="13"/>
      <c r="D83" s="13" t="s">
        <v>73</v>
      </c>
      <c r="E83" s="41"/>
      <c r="F83" s="41">
        <f>F82/100</f>
        <v>1.04</v>
      </c>
      <c r="G83" s="41">
        <f>F82*G82/10000</f>
        <v>1.0815999999999999</v>
      </c>
      <c r="H83" s="41">
        <f t="shared" ref="H83:S83" si="18">G83*H82/100</f>
        <v>1.1248639999999999</v>
      </c>
      <c r="I83" s="41">
        <f t="shared" si="18"/>
        <v>1.1698585599999998</v>
      </c>
      <c r="J83" s="41">
        <f t="shared" si="18"/>
        <v>1.2166529023999997</v>
      </c>
      <c r="K83" s="41">
        <f t="shared" si="18"/>
        <v>1.2653190184959997</v>
      </c>
      <c r="L83" s="41">
        <f t="shared" si="18"/>
        <v>1.3159317792358396</v>
      </c>
      <c r="M83" s="41">
        <f t="shared" si="18"/>
        <v>1.3685690504052732</v>
      </c>
      <c r="N83" s="41">
        <f t="shared" si="18"/>
        <v>1.4233118124214841</v>
      </c>
      <c r="O83" s="41">
        <f t="shared" si="18"/>
        <v>1.4802442849183435</v>
      </c>
      <c r="P83" s="41">
        <f t="shared" si="18"/>
        <v>1.5394540563150771</v>
      </c>
      <c r="Q83" s="41">
        <f t="shared" si="18"/>
        <v>1.6010322185676802</v>
      </c>
      <c r="R83" s="41">
        <f t="shared" si="18"/>
        <v>1.6650735073103875</v>
      </c>
      <c r="S83" s="41">
        <f t="shared" si="18"/>
        <v>1.731676447602803</v>
      </c>
      <c r="T83" s="36"/>
    </row>
    <row r="84" spans="1:20" ht="78.75" x14ac:dyDescent="0.25">
      <c r="A84" s="34" t="s">
        <v>266</v>
      </c>
      <c r="B84" s="34" t="s">
        <v>71</v>
      </c>
      <c r="C84" s="13" t="s">
        <v>84</v>
      </c>
      <c r="D84" s="13" t="s">
        <v>73</v>
      </c>
      <c r="E84" s="42"/>
      <c r="F84" s="43">
        <f>F80*F83</f>
        <v>0</v>
      </c>
      <c r="G84" s="43">
        <f t="shared" ref="G84:S84" si="19">G80*G83</f>
        <v>52884.902352778037</v>
      </c>
      <c r="H84" s="43">
        <f t="shared" si="19"/>
        <v>89206.79300800919</v>
      </c>
      <c r="I84" s="43">
        <f t="shared" si="19"/>
        <v>24344.321352626994</v>
      </c>
      <c r="J84" s="43">
        <f t="shared" si="19"/>
        <v>95909.03302338747</v>
      </c>
      <c r="K84" s="43">
        <f t="shared" si="19"/>
        <v>0</v>
      </c>
      <c r="L84" s="43">
        <f t="shared" si="19"/>
        <v>75990.666512570693</v>
      </c>
      <c r="M84" s="43">
        <f t="shared" si="19"/>
        <v>48224.645244703002</v>
      </c>
      <c r="N84" s="43">
        <f t="shared" si="19"/>
        <v>57630.280880448896</v>
      </c>
      <c r="O84" s="43">
        <f t="shared" si="19"/>
        <v>0</v>
      </c>
      <c r="P84" s="43">
        <f t="shared" si="19"/>
        <v>0</v>
      </c>
      <c r="Q84" s="43">
        <f t="shared" si="19"/>
        <v>0</v>
      </c>
      <c r="R84" s="43">
        <f t="shared" si="19"/>
        <v>0</v>
      </c>
      <c r="S84" s="43">
        <f t="shared" si="19"/>
        <v>0</v>
      </c>
      <c r="T84" s="38">
        <f>SUM(F84:S84)</f>
        <v>444190.64237452421</v>
      </c>
    </row>
    <row r="85" spans="1:20" ht="110.25" x14ac:dyDescent="0.25">
      <c r="A85" s="99" t="s">
        <v>315</v>
      </c>
      <c r="B85" s="99" t="s">
        <v>71</v>
      </c>
      <c r="C85" s="74"/>
      <c r="D85" s="74" t="s">
        <v>73</v>
      </c>
      <c r="E85" s="97"/>
      <c r="F85" s="98">
        <f>F84</f>
        <v>0</v>
      </c>
      <c r="G85" s="98">
        <f t="shared" ref="G85:T85" si="20">G84</f>
        <v>52884.902352778037</v>
      </c>
      <c r="H85" s="98">
        <f t="shared" si="20"/>
        <v>89206.79300800919</v>
      </c>
      <c r="I85" s="98">
        <f t="shared" si="20"/>
        <v>24344.321352626994</v>
      </c>
      <c r="J85" s="98">
        <f t="shared" si="20"/>
        <v>95909.03302338747</v>
      </c>
      <c r="K85" s="98">
        <f t="shared" si="20"/>
        <v>0</v>
      </c>
      <c r="L85" s="98">
        <f t="shared" si="20"/>
        <v>75990.666512570693</v>
      </c>
      <c r="M85" s="98">
        <f t="shared" si="20"/>
        <v>48224.645244703002</v>
      </c>
      <c r="N85" s="98">
        <f t="shared" si="20"/>
        <v>57630.280880448896</v>
      </c>
      <c r="O85" s="98">
        <f t="shared" si="20"/>
        <v>0</v>
      </c>
      <c r="P85" s="98">
        <f t="shared" si="20"/>
        <v>0</v>
      </c>
      <c r="Q85" s="98">
        <f t="shared" si="20"/>
        <v>0</v>
      </c>
      <c r="R85" s="98">
        <f t="shared" si="20"/>
        <v>0</v>
      </c>
      <c r="S85" s="98">
        <f t="shared" si="20"/>
        <v>0</v>
      </c>
      <c r="T85" s="38">
        <f t="shared" si="20"/>
        <v>444190.64237452421</v>
      </c>
    </row>
    <row r="86" spans="1:20" x14ac:dyDescent="0.25">
      <c r="F86" s="44"/>
      <c r="G86" s="44"/>
    </row>
    <row r="133" spans="1:19" hidden="1" x14ac:dyDescent="0.25">
      <c r="A133" s="45" t="s">
        <v>85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</row>
    <row r="134" spans="1:19" s="33" customFormat="1" hidden="1" x14ac:dyDescent="0.25">
      <c r="A134" s="47" t="s">
        <v>86</v>
      </c>
      <c r="B134" s="48" t="s">
        <v>87</v>
      </c>
      <c r="C134" s="47" t="s">
        <v>88</v>
      </c>
      <c r="D134" s="49"/>
      <c r="E134" s="50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</row>
    <row r="135" spans="1:19" s="33" customFormat="1" hidden="1" x14ac:dyDescent="0.25">
      <c r="A135" s="47" t="s">
        <v>89</v>
      </c>
      <c r="B135" s="48" t="s">
        <v>90</v>
      </c>
      <c r="C135" s="47" t="s">
        <v>91</v>
      </c>
      <c r="D135" s="49"/>
      <c r="E135" s="50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</row>
    <row r="136" spans="1:19" s="33" customFormat="1" hidden="1" x14ac:dyDescent="0.25">
      <c r="A136" s="47" t="s">
        <v>92</v>
      </c>
      <c r="B136" s="48" t="s">
        <v>93</v>
      </c>
      <c r="C136" s="47" t="s">
        <v>91</v>
      </c>
      <c r="D136" s="49"/>
      <c r="E136" s="50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</row>
    <row r="137" spans="1:19" s="33" customFormat="1" hidden="1" x14ac:dyDescent="0.25">
      <c r="A137" s="13" t="s">
        <v>94</v>
      </c>
      <c r="B137" s="40" t="s">
        <v>93</v>
      </c>
      <c r="C137" s="13" t="s">
        <v>88</v>
      </c>
      <c r="D137" s="37"/>
      <c r="E137" s="52" t="e">
        <f>#REF!*(#REF!/#REF!)*1000</f>
        <v>#REF!</v>
      </c>
      <c r="F137" s="52" t="e">
        <f>E137</f>
        <v>#REF!</v>
      </c>
      <c r="G137" s="52" t="e">
        <f t="shared" ref="G137:S137" si="21">F137</f>
        <v>#REF!</v>
      </c>
      <c r="H137" s="52" t="e">
        <f t="shared" si="21"/>
        <v>#REF!</v>
      </c>
      <c r="I137" s="52" t="e">
        <f t="shared" si="21"/>
        <v>#REF!</v>
      </c>
      <c r="J137" s="52" t="e">
        <f t="shared" si="21"/>
        <v>#REF!</v>
      </c>
      <c r="K137" s="52" t="e">
        <f t="shared" si="21"/>
        <v>#REF!</v>
      </c>
      <c r="L137" s="52" t="e">
        <f t="shared" si="21"/>
        <v>#REF!</v>
      </c>
      <c r="M137" s="52" t="e">
        <f t="shared" si="21"/>
        <v>#REF!</v>
      </c>
      <c r="N137" s="52" t="e">
        <f t="shared" si="21"/>
        <v>#REF!</v>
      </c>
      <c r="O137" s="52" t="e">
        <f t="shared" si="21"/>
        <v>#REF!</v>
      </c>
      <c r="P137" s="52" t="e">
        <f t="shared" si="21"/>
        <v>#REF!</v>
      </c>
      <c r="Q137" s="52" t="e">
        <f t="shared" si="21"/>
        <v>#REF!</v>
      </c>
      <c r="R137" s="52" t="e">
        <f t="shared" si="21"/>
        <v>#REF!</v>
      </c>
      <c r="S137" s="52" t="e">
        <f t="shared" si="21"/>
        <v>#REF!</v>
      </c>
    </row>
    <row r="138" spans="1:19" s="33" customFormat="1" hidden="1" x14ac:dyDescent="0.25">
      <c r="A138" s="13" t="s">
        <v>95</v>
      </c>
      <c r="B138" s="40" t="s">
        <v>96</v>
      </c>
      <c r="C138" s="13" t="s">
        <v>88</v>
      </c>
      <c r="D138" s="37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1:19" s="33" customFormat="1" hidden="1" x14ac:dyDescent="0.25">
      <c r="A139" s="13" t="s">
        <v>97</v>
      </c>
      <c r="B139" s="40" t="s">
        <v>96</v>
      </c>
      <c r="C139" s="13" t="s">
        <v>88</v>
      </c>
      <c r="D139" s="37"/>
      <c r="E139" s="52" t="e">
        <f>E137*'[1]Свод и выручка Водоканала'!#REF!/1000/1000*365</f>
        <v>#REF!</v>
      </c>
      <c r="F139" s="52" t="e">
        <f>F137*'[1]Свод и выручка Водоканала'!#REF!/1000/1000*365</f>
        <v>#REF!</v>
      </c>
      <c r="G139" s="52" t="e">
        <f>G137*'[1]Свод и выручка Водоканала'!#REF!/1000/1000*365</f>
        <v>#REF!</v>
      </c>
      <c r="H139" s="52" t="e">
        <f>H137*'[1]Свод и выручка Водоканала'!#REF!/1000/1000*365</f>
        <v>#REF!</v>
      </c>
      <c r="I139" s="52" t="e">
        <f>I137*'[1]Свод и выручка Водоканала'!#REF!/1000/1000*365</f>
        <v>#REF!</v>
      </c>
      <c r="J139" s="52" t="e">
        <f>J137*'[1]Свод и выручка Водоканала'!#REF!/1000/1000*365</f>
        <v>#REF!</v>
      </c>
      <c r="K139" s="52" t="e">
        <f>K137*'[1]Свод и выручка Водоканала'!#REF!/1000/1000*365</f>
        <v>#REF!</v>
      </c>
      <c r="L139" s="52" t="e">
        <f>L137*'[1]Свод и выручка Водоканала'!#REF!/1000/1000*365</f>
        <v>#REF!</v>
      </c>
      <c r="M139" s="52" t="e">
        <f>M137*'[1]Свод и выручка Водоканала'!#REF!/1000/1000*365</f>
        <v>#REF!</v>
      </c>
      <c r="N139" s="52" t="e">
        <f>N137*'[1]Свод и выручка Водоканала'!#REF!/1000/1000*365</f>
        <v>#REF!</v>
      </c>
      <c r="O139" s="52" t="e">
        <f>O137*'[1]Свод и выручка Водоканала'!#REF!/1000/1000*365</f>
        <v>#REF!</v>
      </c>
      <c r="P139" s="52" t="e">
        <f>P137*'[1]Свод и выручка Водоканала'!#REF!/1000/1000*365</f>
        <v>#REF!</v>
      </c>
      <c r="Q139" s="52" t="e">
        <f>Q137*'[1]Свод и выручка Водоканала'!#REF!/1000/1000*365</f>
        <v>#REF!</v>
      </c>
      <c r="R139" s="52" t="e">
        <f>R137*'[1]Свод и выручка Водоканала'!#REF!/1000/1000*365</f>
        <v>#REF!</v>
      </c>
      <c r="S139" s="52" t="e">
        <f>S137*'[1]Свод и выручка Водоканала'!#REF!/1000/1000*365</f>
        <v>#REF!</v>
      </c>
    </row>
    <row r="140" spans="1:19" s="33" customFormat="1" hidden="1" x14ac:dyDescent="0.25">
      <c r="A140" s="13" t="s">
        <v>98</v>
      </c>
      <c r="B140" s="40" t="s">
        <v>96</v>
      </c>
      <c r="C140" s="13" t="s">
        <v>88</v>
      </c>
      <c r="D140" s="37"/>
      <c r="E140" s="52" t="e">
        <f>E137*'[1]Свод и выручка Водоканала'!#REF!/1000/1000*365</f>
        <v>#REF!</v>
      </c>
      <c r="F140" s="52" t="e">
        <f>F137*'[1]Свод и выручка Водоканала'!#REF!/1000/1000*365</f>
        <v>#REF!</v>
      </c>
      <c r="G140" s="52" t="e">
        <f>G137*'[1]Свод и выручка Водоканала'!#REF!/1000/1000*365</f>
        <v>#REF!</v>
      </c>
      <c r="H140" s="52" t="e">
        <f>H137*'[1]Свод и выручка Водоканала'!#REF!/1000/1000*365</f>
        <v>#REF!</v>
      </c>
      <c r="I140" s="52" t="e">
        <f>I137*'[1]Свод и выручка Водоканала'!#REF!/1000/1000*365</f>
        <v>#REF!</v>
      </c>
      <c r="J140" s="52" t="e">
        <f>J137*'[1]Свод и выручка Водоканала'!#REF!/1000/1000*365</f>
        <v>#REF!</v>
      </c>
      <c r="K140" s="52" t="e">
        <f>K137*'[1]Свод и выручка Водоканала'!#REF!/1000/1000*365</f>
        <v>#REF!</v>
      </c>
      <c r="L140" s="52" t="e">
        <f>L137*'[1]Свод и выручка Водоканала'!#REF!/1000/1000*365</f>
        <v>#REF!</v>
      </c>
      <c r="M140" s="52" t="e">
        <f>M137*'[1]Свод и выручка Водоканала'!#REF!/1000/1000*365</f>
        <v>#REF!</v>
      </c>
      <c r="N140" s="52" t="e">
        <f>N137*'[1]Свод и выручка Водоканала'!#REF!/1000/1000*365</f>
        <v>#REF!</v>
      </c>
      <c r="O140" s="52" t="e">
        <f>O137*'[1]Свод и выручка Водоканала'!#REF!/1000/1000*365</f>
        <v>#REF!</v>
      </c>
      <c r="P140" s="52" t="e">
        <f>P137*'[1]Свод и выручка Водоканала'!#REF!/1000/1000*365</f>
        <v>#REF!</v>
      </c>
      <c r="Q140" s="52" t="e">
        <f>Q137*'[1]Свод и выручка Водоканала'!#REF!/1000/1000*365</f>
        <v>#REF!</v>
      </c>
      <c r="R140" s="52" t="e">
        <f>R137*'[1]Свод и выручка Водоканала'!#REF!/1000/1000*365</f>
        <v>#REF!</v>
      </c>
      <c r="S140" s="52" t="e">
        <f>S137*'[1]Свод и выручка Водоканала'!#REF!/1000/1000*365</f>
        <v>#REF!</v>
      </c>
    </row>
    <row r="141" spans="1:19" s="33" customFormat="1" ht="31.5" hidden="1" x14ac:dyDescent="0.25">
      <c r="A141" s="45" t="s">
        <v>99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1:19" s="33" customFormat="1" ht="31.5" hidden="1" x14ac:dyDescent="0.25">
      <c r="A142" s="13" t="s">
        <v>99</v>
      </c>
      <c r="B142" s="40" t="s">
        <v>100</v>
      </c>
      <c r="C142" s="13" t="s">
        <v>88</v>
      </c>
      <c r="D142" s="37"/>
      <c r="E142" s="53" t="e">
        <f>('[1]Свод и выручка Водоканала'!#REF!*E137*'[1]Свод и выручка Водоканала'!#REF!+E137*'[1]Свод и выручка Водоканала'!#REF!*'[1]Свод и выручка Водоканала'!#REF!)/1000/1000*365</f>
        <v>#REF!</v>
      </c>
      <c r="F142" s="53" t="e">
        <f>('[1]Свод и выручка Водоканала'!#REF!*F137*'[1]Свод и выручка Водоканала'!#REF!+F137*'[1]Свод и выручка Водоканала'!#REF!*'[1]Свод и выручка Водоканала'!#REF!)/1000/1000*365</f>
        <v>#REF!</v>
      </c>
      <c r="G142" s="53" t="e">
        <f>('[1]Свод и выручка Водоканала'!#REF!*G137*'[1]Свод и выручка Водоканала'!#REF!+G137*'[1]Свод и выручка Водоканала'!#REF!*'[1]Свод и выручка Водоканала'!#REF!)/1000/1000*365</f>
        <v>#REF!</v>
      </c>
      <c r="H142" s="53" t="e">
        <f>('[1]Свод и выручка Водоканала'!#REF!*H137*'[1]Свод и выручка Водоканала'!#REF!+H137*'[1]Свод и выручка Водоканала'!#REF!*'[1]Свод и выручка Водоканала'!#REF!)/1000/1000*365</f>
        <v>#REF!</v>
      </c>
      <c r="I142" s="53" t="e">
        <f>('[1]Свод и выручка Водоканала'!#REF!*I137*'[1]Свод и выручка Водоканала'!#REF!+I137*'[1]Свод и выручка Водоканала'!#REF!*'[1]Свод и выручка Водоканала'!#REF!)/1000/1000*365</f>
        <v>#REF!</v>
      </c>
      <c r="J142" s="53" t="e">
        <f>('[1]Свод и выручка Водоканала'!#REF!*J137*'[1]Свод и выручка Водоканала'!#REF!+J137*'[1]Свод и выручка Водоканала'!#REF!*'[1]Свод и выручка Водоканала'!#REF!)/1000/1000*365</f>
        <v>#REF!</v>
      </c>
      <c r="K142" s="53" t="e">
        <f>('[1]Свод и выручка Водоканала'!#REF!*K137*'[1]Свод и выручка Водоканала'!#REF!+K137*'[1]Свод и выручка Водоканала'!#REF!*'[1]Свод и выручка Водоканала'!#REF!)/1000/1000*365</f>
        <v>#REF!</v>
      </c>
      <c r="L142" s="53" t="e">
        <f>('[1]Свод и выручка Водоканала'!#REF!*L137*'[1]Свод и выручка Водоканала'!#REF!+L137*'[1]Свод и выручка Водоканала'!#REF!*'[1]Свод и выручка Водоканала'!#REF!)/1000/1000*365</f>
        <v>#REF!</v>
      </c>
      <c r="M142" s="53" t="e">
        <f>('[1]Свод и выручка Водоканала'!#REF!*M137*'[1]Свод и выручка Водоканала'!#REF!+M137*'[1]Свод и выручка Водоканала'!#REF!*'[1]Свод и выручка Водоканала'!#REF!)/1000/1000*365</f>
        <v>#REF!</v>
      </c>
      <c r="N142" s="53" t="e">
        <f>('[1]Свод и выручка Водоканала'!#REF!*N137*'[1]Свод и выручка Водоканала'!#REF!+N137*'[1]Свод и выручка Водоканала'!#REF!*'[1]Свод и выручка Водоканала'!#REF!)/1000/1000*365</f>
        <v>#REF!</v>
      </c>
      <c r="O142" s="53" t="e">
        <f>('[1]Свод и выручка Водоканала'!#REF!*O137*'[1]Свод и выручка Водоканала'!#REF!+O137*'[1]Свод и выручка Водоканала'!#REF!*'[1]Свод и выручка Водоканала'!#REF!)/1000/1000*365</f>
        <v>#REF!</v>
      </c>
      <c r="P142" s="53" t="e">
        <f>('[1]Свод и выручка Водоканала'!#REF!*P137*'[1]Свод и выручка Водоканала'!#REF!+P137*'[1]Свод и выручка Водоканала'!#REF!*'[1]Свод и выручка Водоканала'!#REF!)/1000/1000*365</f>
        <v>#REF!</v>
      </c>
      <c r="Q142" s="53" t="e">
        <f>('[1]Свод и выручка Водоканала'!#REF!*Q137*'[1]Свод и выручка Водоканала'!#REF!+Q137*'[1]Свод и выручка Водоканала'!#REF!*'[1]Свод и выручка Водоканала'!#REF!)/1000/1000*365</f>
        <v>#REF!</v>
      </c>
      <c r="R142" s="53" t="e">
        <f>('[1]Свод и выручка Водоканала'!#REF!*R137*'[1]Свод и выручка Водоканала'!#REF!+R137*'[1]Свод и выручка Водоканала'!#REF!*'[1]Свод и выручка Водоканала'!#REF!)/1000/1000*365</f>
        <v>#REF!</v>
      </c>
      <c r="S142" s="53" t="e">
        <f>('[1]Свод и выручка Водоканала'!#REF!*S137*'[1]Свод и выручка Водоканала'!#REF!+S137*'[1]Свод и выручка Водоканала'!#REF!*'[1]Свод и выручка Водоканала'!#REF!)/1000/1000*365</f>
        <v>#REF!</v>
      </c>
    </row>
    <row r="143" spans="1:19" s="33" customFormat="1" hidden="1" x14ac:dyDescent="0.25">
      <c r="A143" s="13" t="s">
        <v>97</v>
      </c>
      <c r="B143" s="40" t="s">
        <v>100</v>
      </c>
      <c r="C143" s="13" t="s">
        <v>88</v>
      </c>
      <c r="D143" s="37"/>
      <c r="E143" s="53" t="e">
        <f>E137*'[1]Свод и выручка Водоканала'!#REF!*'[1]Свод и выручка Водоканала'!#REF!/1000/1000*365</f>
        <v>#REF!</v>
      </c>
      <c r="F143" s="53" t="e">
        <f>F137*'[1]Свод и выручка Водоканала'!#REF!*'[1]Свод и выручка Водоканала'!#REF!/1000/1000*365</f>
        <v>#REF!</v>
      </c>
      <c r="G143" s="53" t="e">
        <f>G137*'[1]Свод и выручка Водоканала'!#REF!*'[1]Свод и выручка Водоканала'!#REF!/1000/1000*365</f>
        <v>#REF!</v>
      </c>
      <c r="H143" s="53" t="e">
        <f>H137*'[1]Свод и выручка Водоканала'!#REF!*'[1]Свод и выручка Водоканала'!#REF!/1000/1000*365</f>
        <v>#REF!</v>
      </c>
      <c r="I143" s="53" t="e">
        <f>I137*'[1]Свод и выручка Водоканала'!#REF!*'[1]Свод и выручка Водоканала'!#REF!/1000/1000*365</f>
        <v>#REF!</v>
      </c>
      <c r="J143" s="53" t="e">
        <f>J137*'[1]Свод и выручка Водоканала'!#REF!*'[1]Свод и выручка Водоканала'!#REF!/1000/1000*365</f>
        <v>#REF!</v>
      </c>
      <c r="K143" s="53" t="e">
        <f>K137*'[1]Свод и выручка Водоканала'!#REF!*'[1]Свод и выручка Водоканала'!#REF!/1000/1000*365</f>
        <v>#REF!</v>
      </c>
      <c r="L143" s="53" t="e">
        <f>L137*'[1]Свод и выручка Водоканала'!#REF!*'[1]Свод и выручка Водоканала'!#REF!/1000/1000*365</f>
        <v>#REF!</v>
      </c>
      <c r="M143" s="53" t="e">
        <f>M137*'[1]Свод и выручка Водоканала'!#REF!*'[1]Свод и выручка Водоканала'!#REF!/1000/1000*365</f>
        <v>#REF!</v>
      </c>
      <c r="N143" s="53" t="e">
        <f>N137*'[1]Свод и выручка Водоканала'!#REF!*'[1]Свод и выручка Водоканала'!#REF!/1000/1000*365</f>
        <v>#REF!</v>
      </c>
      <c r="O143" s="53" t="e">
        <f>O137*'[1]Свод и выручка Водоканала'!#REF!*'[1]Свод и выручка Водоканала'!#REF!/1000/1000*365</f>
        <v>#REF!</v>
      </c>
      <c r="P143" s="53" t="e">
        <f>P137*'[1]Свод и выручка Водоканала'!#REF!*'[1]Свод и выручка Водоканала'!#REF!/1000/1000*365</f>
        <v>#REF!</v>
      </c>
      <c r="Q143" s="53" t="e">
        <f>Q137*'[1]Свод и выручка Водоканала'!#REF!*'[1]Свод и выручка Водоканала'!#REF!/1000/1000*365</f>
        <v>#REF!</v>
      </c>
      <c r="R143" s="53" t="e">
        <f>R137*'[1]Свод и выручка Водоканала'!#REF!*'[1]Свод и выручка Водоканала'!#REF!/1000/1000*365</f>
        <v>#REF!</v>
      </c>
      <c r="S143" s="53" t="e">
        <f>S137*'[1]Свод и выручка Водоканала'!#REF!*'[1]Свод и выручка Водоканала'!#REF!/1000/1000*365</f>
        <v>#REF!</v>
      </c>
    </row>
    <row r="144" spans="1:19" s="33" customFormat="1" hidden="1" x14ac:dyDescent="0.25">
      <c r="A144" s="13" t="s">
        <v>98</v>
      </c>
      <c r="B144" s="40" t="s">
        <v>100</v>
      </c>
      <c r="C144" s="13" t="s">
        <v>88</v>
      </c>
      <c r="D144" s="37"/>
      <c r="E144" s="53" t="e">
        <f>'[1]Свод и выручка Водоканала'!#REF!*E137*'[1]Свод и выручка Водоканала'!#REF!/1000/1000*365</f>
        <v>#REF!</v>
      </c>
      <c r="F144" s="53" t="e">
        <f>'[1]Свод и выручка Водоканала'!#REF!*F137*'[1]Свод и выручка Водоканала'!#REF!/1000/1000*365</f>
        <v>#REF!</v>
      </c>
      <c r="G144" s="53" t="e">
        <f>'[1]Свод и выручка Водоканала'!#REF!*G137*'[1]Свод и выручка Водоканала'!#REF!/1000/1000*365</f>
        <v>#REF!</v>
      </c>
      <c r="H144" s="53" t="e">
        <f>'[1]Свод и выручка Водоканала'!#REF!*H137*'[1]Свод и выручка Водоканала'!#REF!/1000/1000*365</f>
        <v>#REF!</v>
      </c>
      <c r="I144" s="53" t="e">
        <f>'[1]Свод и выручка Водоканала'!#REF!*I137*'[1]Свод и выручка Водоканала'!#REF!/1000/1000*365</f>
        <v>#REF!</v>
      </c>
      <c r="J144" s="53" t="e">
        <f>'[1]Свод и выручка Водоканала'!#REF!*J137*'[1]Свод и выручка Водоканала'!#REF!/1000/1000*365</f>
        <v>#REF!</v>
      </c>
      <c r="K144" s="53" t="e">
        <f>'[1]Свод и выручка Водоканала'!#REF!*K137*'[1]Свод и выручка Водоканала'!#REF!/1000/1000*365</f>
        <v>#REF!</v>
      </c>
      <c r="L144" s="53" t="e">
        <f>'[1]Свод и выручка Водоканала'!#REF!*L137*'[1]Свод и выручка Водоканала'!#REF!/1000/1000*365</f>
        <v>#REF!</v>
      </c>
      <c r="M144" s="53" t="e">
        <f>'[1]Свод и выручка Водоканала'!#REF!*M137*'[1]Свод и выручка Водоканала'!#REF!/1000/1000*365</f>
        <v>#REF!</v>
      </c>
      <c r="N144" s="53" t="e">
        <f>'[1]Свод и выручка Водоканала'!#REF!*N137*'[1]Свод и выручка Водоканала'!#REF!/1000/1000*365</f>
        <v>#REF!</v>
      </c>
      <c r="O144" s="53" t="e">
        <f>'[1]Свод и выручка Водоканала'!#REF!*O137*'[1]Свод и выручка Водоканала'!#REF!/1000/1000*365</f>
        <v>#REF!</v>
      </c>
      <c r="P144" s="53" t="e">
        <f>'[1]Свод и выручка Водоканала'!#REF!*P137*'[1]Свод и выручка Водоканала'!#REF!/1000/1000*365</f>
        <v>#REF!</v>
      </c>
      <c r="Q144" s="53" t="e">
        <f>'[1]Свод и выручка Водоканала'!#REF!*Q137*'[1]Свод и выручка Водоканала'!#REF!/1000/1000*365</f>
        <v>#REF!</v>
      </c>
      <c r="R144" s="53" t="e">
        <f>'[1]Свод и выручка Водоканала'!#REF!*R137*'[1]Свод и выручка Водоканала'!#REF!/1000/1000*365</f>
        <v>#REF!</v>
      </c>
      <c r="S144" s="53" t="e">
        <f>'[1]Свод и выручка Водоканала'!#REF!*S137*'[1]Свод и выручка Водоканала'!#REF!/1000/1000*365</f>
        <v>#REF!</v>
      </c>
    </row>
  </sheetData>
  <mergeCells count="1">
    <mergeCell ref="A58:H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abSelected="1" zoomScale="70" zoomScaleNormal="70" workbookViewId="0">
      <pane ySplit="3" topLeftCell="A136" activePane="bottomLeft" state="frozen"/>
      <selection pane="bottomLeft" activeCell="K13" sqref="K13"/>
    </sheetView>
  </sheetViews>
  <sheetFormatPr defaultColWidth="7.109375" defaultRowHeight="15.75" x14ac:dyDescent="0.25"/>
  <cols>
    <col min="1" max="1" width="31.21875" style="4" customWidth="1"/>
    <col min="2" max="2" width="17.33203125" style="4" customWidth="1"/>
    <col min="3" max="3" width="19.6640625" style="4" customWidth="1"/>
    <col min="4" max="4" width="20.88671875" style="4" customWidth="1"/>
    <col min="5" max="5" width="11.109375" style="4" bestFit="1" customWidth="1"/>
    <col min="6" max="6" width="10.21875" style="4" bestFit="1" customWidth="1"/>
    <col min="7" max="7" width="14.109375" style="4" customWidth="1"/>
    <col min="8" max="8" width="10.21875" style="4" bestFit="1" customWidth="1"/>
    <col min="9" max="13" width="9.88671875" style="4" bestFit="1" customWidth="1"/>
    <col min="14" max="14" width="14.5546875" style="4" bestFit="1" customWidth="1"/>
    <col min="15" max="15" width="9.88671875" style="4" bestFit="1" customWidth="1"/>
    <col min="16" max="19" width="11.109375" style="4" bestFit="1" customWidth="1"/>
    <col min="20" max="20" width="12.44140625" style="4" bestFit="1" customWidth="1"/>
    <col min="21" max="16384" width="7.1093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5">
      <c r="A2" s="57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31.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151</v>
      </c>
      <c r="F3" s="6">
        <v>2022</v>
      </c>
      <c r="G3" s="6">
        <v>2023</v>
      </c>
      <c r="H3" s="6">
        <v>2024</v>
      </c>
      <c r="I3" s="6">
        <v>2025</v>
      </c>
      <c r="J3" s="6">
        <v>2026</v>
      </c>
      <c r="K3" s="6">
        <v>2027</v>
      </c>
      <c r="L3" s="6">
        <v>2028</v>
      </c>
      <c r="M3" s="6">
        <v>2029</v>
      </c>
      <c r="N3" s="6">
        <v>2030</v>
      </c>
      <c r="O3" s="6">
        <v>2031</v>
      </c>
      <c r="P3" s="6">
        <v>2032</v>
      </c>
      <c r="Q3" s="6">
        <v>2033</v>
      </c>
      <c r="R3" s="6">
        <v>2034</v>
      </c>
      <c r="S3" s="6">
        <v>2035</v>
      </c>
      <c r="T3" s="5" t="s">
        <v>70</v>
      </c>
    </row>
    <row r="4" spans="1:20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5">
      <c r="A5" s="9" t="s">
        <v>338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1.5" x14ac:dyDescent="0.25">
      <c r="A6" s="61" t="s">
        <v>195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47.25" x14ac:dyDescent="0.25">
      <c r="A7" s="13" t="s">
        <v>196</v>
      </c>
      <c r="B7" s="13" t="s">
        <v>131</v>
      </c>
      <c r="C7" s="13" t="s">
        <v>115</v>
      </c>
      <c r="D7" s="13" t="s">
        <v>28</v>
      </c>
      <c r="E7" s="59">
        <f>SUM(F7:S7)</f>
        <v>10000</v>
      </c>
      <c r="F7" s="59"/>
      <c r="G7" s="59">
        <v>10000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47.25" x14ac:dyDescent="0.25">
      <c r="A8" s="13" t="s">
        <v>197</v>
      </c>
      <c r="B8" s="13" t="s">
        <v>131</v>
      </c>
      <c r="C8" s="13" t="s">
        <v>115</v>
      </c>
      <c r="D8" s="13" t="s">
        <v>28</v>
      </c>
      <c r="E8" s="59">
        <f>SUM(F8:S8)</f>
        <v>10000</v>
      </c>
      <c r="F8" s="59"/>
      <c r="G8" s="59"/>
      <c r="H8" s="59"/>
      <c r="I8" s="59"/>
      <c r="J8" s="59"/>
      <c r="K8" s="59"/>
      <c r="L8" s="59"/>
      <c r="M8" s="59">
        <v>10000</v>
      </c>
      <c r="N8" s="59"/>
      <c r="O8" s="59"/>
      <c r="P8" s="59"/>
      <c r="Q8" s="59"/>
      <c r="R8" s="59"/>
      <c r="S8" s="59"/>
      <c r="T8" s="59"/>
    </row>
    <row r="9" spans="1:20" ht="31.5" x14ac:dyDescent="0.25">
      <c r="A9" s="61" t="s">
        <v>200</v>
      </c>
      <c r="B9" s="61"/>
      <c r="C9" s="61"/>
      <c r="D9" s="61"/>
      <c r="E9" s="76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31.5" x14ac:dyDescent="0.25">
      <c r="A10" s="13" t="s">
        <v>209</v>
      </c>
      <c r="B10" s="39" t="s">
        <v>246</v>
      </c>
      <c r="C10" s="13" t="s">
        <v>115</v>
      </c>
      <c r="D10" s="13" t="s">
        <v>28</v>
      </c>
      <c r="E10" s="59">
        <f t="shared" ref="E10:E36" si="0">SUM(F10:S10)</f>
        <v>0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1:20" ht="57" customHeight="1" x14ac:dyDescent="0.25">
      <c r="A11" s="13" t="s">
        <v>349</v>
      </c>
      <c r="B11" s="39" t="s">
        <v>348</v>
      </c>
      <c r="C11" s="13" t="s">
        <v>115</v>
      </c>
      <c r="D11" s="13" t="s">
        <v>28</v>
      </c>
      <c r="E11" s="59">
        <f t="shared" si="0"/>
        <v>1</v>
      </c>
      <c r="F11" s="60"/>
      <c r="G11" s="60"/>
      <c r="H11" s="60">
        <v>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x14ac:dyDescent="0.25">
      <c r="A12" s="61" t="s">
        <v>201</v>
      </c>
      <c r="B12" s="61"/>
      <c r="C12" s="61"/>
      <c r="D12" s="61"/>
      <c r="E12" s="76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47.25" x14ac:dyDescent="0.25">
      <c r="A13" s="13" t="s">
        <v>202</v>
      </c>
      <c r="B13" s="13" t="s">
        <v>131</v>
      </c>
      <c r="C13" s="13" t="s">
        <v>115</v>
      </c>
      <c r="D13" s="13" t="s">
        <v>28</v>
      </c>
      <c r="E13" s="59">
        <f t="shared" si="0"/>
        <v>73500</v>
      </c>
      <c r="F13" s="60"/>
      <c r="G13" s="60"/>
      <c r="H13" s="60"/>
      <c r="I13" s="60"/>
      <c r="J13" s="60"/>
      <c r="K13" s="60"/>
      <c r="L13" s="60"/>
      <c r="M13" s="60"/>
      <c r="N13" s="59">
        <v>73500</v>
      </c>
      <c r="O13" s="60"/>
      <c r="P13" s="60"/>
      <c r="Q13" s="60"/>
      <c r="R13" s="60"/>
      <c r="S13" s="60"/>
      <c r="T13" s="60"/>
    </row>
    <row r="14" spans="1:20" ht="47.25" x14ac:dyDescent="0.25">
      <c r="A14" s="13" t="s">
        <v>203</v>
      </c>
      <c r="B14" s="13" t="s">
        <v>131</v>
      </c>
      <c r="C14" s="13" t="s">
        <v>115</v>
      </c>
      <c r="D14" s="13" t="s">
        <v>28</v>
      </c>
      <c r="E14" s="59">
        <f t="shared" si="0"/>
        <v>0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51.75" customHeight="1" x14ac:dyDescent="0.25">
      <c r="A15" s="61" t="s">
        <v>204</v>
      </c>
      <c r="B15" s="61"/>
      <c r="C15" s="61"/>
      <c r="D15" s="61"/>
      <c r="E15" s="76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47.25" x14ac:dyDescent="0.25">
      <c r="A16" s="13" t="s">
        <v>207</v>
      </c>
      <c r="B16" s="13" t="s">
        <v>131</v>
      </c>
      <c r="C16" s="13" t="s">
        <v>115</v>
      </c>
      <c r="D16" s="13" t="s">
        <v>28</v>
      </c>
      <c r="E16" s="59">
        <f t="shared" si="0"/>
        <v>2300</v>
      </c>
      <c r="F16" s="59"/>
      <c r="G16" s="59"/>
      <c r="H16" s="59">
        <v>2300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47.25" x14ac:dyDescent="0.25">
      <c r="A17" s="13" t="s">
        <v>208</v>
      </c>
      <c r="B17" s="13" t="s">
        <v>131</v>
      </c>
      <c r="C17" s="13" t="s">
        <v>115</v>
      </c>
      <c r="D17" s="13" t="s">
        <v>28</v>
      </c>
      <c r="E17" s="14">
        <f t="shared" si="0"/>
        <v>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ht="31.5" x14ac:dyDescent="0.25">
      <c r="A18" s="61" t="s">
        <v>248</v>
      </c>
      <c r="B18" s="61"/>
      <c r="C18" s="61"/>
      <c r="D18" s="61"/>
      <c r="E18" s="76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47.25" x14ac:dyDescent="0.25">
      <c r="A19" s="39" t="s">
        <v>290</v>
      </c>
      <c r="B19" s="39" t="s">
        <v>132</v>
      </c>
      <c r="C19" s="39" t="s">
        <v>115</v>
      </c>
      <c r="D19" s="39" t="s">
        <v>28</v>
      </c>
      <c r="E19" s="59"/>
      <c r="F19" s="59"/>
      <c r="G19" s="59"/>
      <c r="H19" s="59"/>
      <c r="I19" s="59"/>
      <c r="J19" s="59"/>
      <c r="K19" s="59">
        <v>2000</v>
      </c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47.25" x14ac:dyDescent="0.25">
      <c r="A20" s="39" t="s">
        <v>289</v>
      </c>
      <c r="B20" s="39" t="s">
        <v>132</v>
      </c>
      <c r="C20" s="39" t="s">
        <v>115</v>
      </c>
      <c r="D20" s="39" t="s">
        <v>28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v>1500</v>
      </c>
      <c r="Q20" s="59"/>
      <c r="R20" s="59"/>
      <c r="S20" s="59"/>
      <c r="T20" s="59"/>
    </row>
    <row r="21" spans="1:20" ht="52.5" customHeight="1" x14ac:dyDescent="0.25">
      <c r="A21" s="61" t="s">
        <v>210</v>
      </c>
      <c r="B21" s="61"/>
      <c r="C21" s="61"/>
      <c r="D21" s="61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0" x14ac:dyDescent="0.25">
      <c r="A22" s="62" t="s">
        <v>211</v>
      </c>
      <c r="B22" s="62"/>
      <c r="C22" s="62"/>
      <c r="D22" s="62"/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1:20" ht="47.25" x14ac:dyDescent="0.25">
      <c r="A23" s="13" t="s">
        <v>212</v>
      </c>
      <c r="B23" s="13" t="s">
        <v>131</v>
      </c>
      <c r="C23" s="13" t="s">
        <v>115</v>
      </c>
      <c r="D23" s="13" t="s">
        <v>28</v>
      </c>
      <c r="E23" s="59">
        <f t="shared" si="0"/>
        <v>180000</v>
      </c>
      <c r="F23" s="59"/>
      <c r="G23" s="59"/>
      <c r="H23" s="59"/>
      <c r="I23" s="59"/>
      <c r="J23" s="59"/>
      <c r="K23" s="59">
        <v>180000</v>
      </c>
      <c r="L23" s="59"/>
      <c r="M23" s="59"/>
      <c r="N23" s="59"/>
      <c r="O23" s="59"/>
      <c r="P23" s="59"/>
      <c r="Q23" s="59"/>
      <c r="R23" s="59"/>
      <c r="S23" s="59"/>
      <c r="T23" s="59"/>
    </row>
    <row r="24" spans="1:20" ht="31.5" x14ac:dyDescent="0.25">
      <c r="A24" s="13" t="s">
        <v>213</v>
      </c>
      <c r="B24" s="13" t="s">
        <v>131</v>
      </c>
      <c r="C24" s="13" t="s">
        <v>115</v>
      </c>
      <c r="D24" s="13" t="s">
        <v>28</v>
      </c>
      <c r="E24" s="59">
        <f t="shared" si="0"/>
        <v>0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x14ac:dyDescent="0.25">
      <c r="A25" s="61" t="s">
        <v>333</v>
      </c>
      <c r="B25" s="61"/>
      <c r="C25" s="61"/>
      <c r="D25" s="61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1:20" ht="47.25" x14ac:dyDescent="0.25">
      <c r="A26" s="13" t="s">
        <v>214</v>
      </c>
      <c r="B26" s="13" t="s">
        <v>131</v>
      </c>
      <c r="C26" s="13" t="s">
        <v>115</v>
      </c>
      <c r="D26" s="13" t="s">
        <v>28</v>
      </c>
      <c r="E26" s="59">
        <f t="shared" si="0"/>
        <v>180000</v>
      </c>
      <c r="F26" s="59"/>
      <c r="G26" s="59"/>
      <c r="H26" s="59"/>
      <c r="I26" s="59"/>
      <c r="J26" s="59"/>
      <c r="K26" s="59"/>
      <c r="L26" s="59"/>
      <c r="M26" s="59"/>
      <c r="N26" s="59"/>
      <c r="O26" s="59">
        <v>180000</v>
      </c>
      <c r="P26" s="59"/>
      <c r="Q26" s="59"/>
      <c r="R26" s="59"/>
      <c r="S26" s="59"/>
      <c r="T26" s="59"/>
    </row>
    <row r="27" spans="1:20" ht="47.25" x14ac:dyDescent="0.25">
      <c r="A27" s="13" t="s">
        <v>215</v>
      </c>
      <c r="B27" s="13" t="s">
        <v>131</v>
      </c>
      <c r="C27" s="13" t="s">
        <v>115</v>
      </c>
      <c r="D27" s="13" t="s">
        <v>28</v>
      </c>
      <c r="E27" s="59">
        <f t="shared" si="0"/>
        <v>0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x14ac:dyDescent="0.25">
      <c r="A28" s="61" t="s">
        <v>221</v>
      </c>
      <c r="B28" s="61"/>
      <c r="C28" s="61"/>
      <c r="D28" s="61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1:20" ht="47.25" x14ac:dyDescent="0.25">
      <c r="A29" s="13" t="s">
        <v>222</v>
      </c>
      <c r="B29" s="13" t="s">
        <v>131</v>
      </c>
      <c r="C29" s="13" t="s">
        <v>115</v>
      </c>
      <c r="D29" s="13" t="s">
        <v>28</v>
      </c>
      <c r="E29" s="59">
        <f t="shared" si="0"/>
        <v>70000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>
        <v>70000</v>
      </c>
      <c r="Q29" s="59"/>
      <c r="R29" s="59"/>
      <c r="S29" s="59"/>
      <c r="T29" s="59"/>
    </row>
    <row r="30" spans="1:20" ht="47.25" x14ac:dyDescent="0.25">
      <c r="A30" s="13" t="s">
        <v>223</v>
      </c>
      <c r="B30" s="13" t="s">
        <v>131</v>
      </c>
      <c r="C30" s="13" t="s">
        <v>115</v>
      </c>
      <c r="D30" s="13" t="s">
        <v>28</v>
      </c>
      <c r="E30" s="59">
        <f t="shared" si="0"/>
        <v>0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ht="31.5" x14ac:dyDescent="0.25">
      <c r="A31" s="61" t="s">
        <v>224</v>
      </c>
      <c r="B31" s="61"/>
      <c r="C31" s="61"/>
      <c r="D31" s="61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</row>
    <row r="32" spans="1:20" ht="47.25" x14ac:dyDescent="0.25">
      <c r="A32" s="13" t="s">
        <v>225</v>
      </c>
      <c r="B32" s="13" t="s">
        <v>131</v>
      </c>
      <c r="C32" s="13" t="s">
        <v>115</v>
      </c>
      <c r="D32" s="13" t="s">
        <v>28</v>
      </c>
      <c r="E32" s="59">
        <f t="shared" si="0"/>
        <v>170000</v>
      </c>
      <c r="F32" s="59"/>
      <c r="G32" s="59"/>
      <c r="H32" s="59"/>
      <c r="I32" s="59"/>
      <c r="J32" s="59"/>
      <c r="K32" s="59"/>
      <c r="L32" s="59"/>
      <c r="M32" s="59"/>
      <c r="N32" s="59">
        <v>170000</v>
      </c>
      <c r="O32" s="59"/>
      <c r="P32" s="59"/>
      <c r="Q32" s="59"/>
      <c r="R32" s="59"/>
      <c r="S32" s="59"/>
      <c r="T32" s="59"/>
    </row>
    <row r="33" spans="1:20" ht="47.25" x14ac:dyDescent="0.25">
      <c r="A33" s="13" t="s">
        <v>226</v>
      </c>
      <c r="B33" s="13" t="s">
        <v>131</v>
      </c>
      <c r="C33" s="13" t="s">
        <v>115</v>
      </c>
      <c r="D33" s="13" t="s">
        <v>28</v>
      </c>
      <c r="E33" s="59">
        <f t="shared" si="0"/>
        <v>0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ht="31.5" x14ac:dyDescent="0.25">
      <c r="A34" s="61" t="s">
        <v>227</v>
      </c>
      <c r="B34" s="61"/>
      <c r="C34" s="61"/>
      <c r="D34" s="61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</row>
    <row r="35" spans="1:20" ht="47.25" x14ac:dyDescent="0.25">
      <c r="A35" s="13" t="s">
        <v>228</v>
      </c>
      <c r="B35" s="13" t="s">
        <v>219</v>
      </c>
      <c r="C35" s="13" t="s">
        <v>115</v>
      </c>
      <c r="D35" s="13" t="s">
        <v>28</v>
      </c>
      <c r="E35" s="59">
        <f t="shared" si="0"/>
        <v>30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>
        <v>30</v>
      </c>
      <c r="R35" s="59"/>
      <c r="S35" s="59"/>
      <c r="T35" s="59"/>
    </row>
    <row r="36" spans="1:20" ht="47.25" x14ac:dyDescent="0.25">
      <c r="A36" s="13" t="s">
        <v>229</v>
      </c>
      <c r="B36" s="13" t="s">
        <v>219</v>
      </c>
      <c r="C36" s="13" t="s">
        <v>115</v>
      </c>
      <c r="D36" s="13" t="s">
        <v>28</v>
      </c>
      <c r="E36" s="59">
        <f t="shared" si="0"/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47.25" x14ac:dyDescent="0.25">
      <c r="A37" s="61" t="s">
        <v>308</v>
      </c>
      <c r="B37" s="61"/>
      <c r="C37" s="61"/>
      <c r="D37" s="61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</row>
    <row r="38" spans="1:20" ht="47.25" x14ac:dyDescent="0.25">
      <c r="A38" s="13" t="s">
        <v>230</v>
      </c>
      <c r="B38" s="13" t="s">
        <v>220</v>
      </c>
      <c r="C38" s="13" t="s">
        <v>115</v>
      </c>
      <c r="D38" s="13" t="s">
        <v>28</v>
      </c>
      <c r="E38" s="59">
        <f t="shared" ref="E38:E42" si="1">SUM(F38:S38)</f>
        <v>1400</v>
      </c>
      <c r="F38" s="59"/>
      <c r="G38" s="59"/>
      <c r="H38" s="59"/>
      <c r="I38" s="59"/>
      <c r="J38" s="59">
        <v>1400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47.25" x14ac:dyDescent="0.25">
      <c r="A39" s="13" t="s">
        <v>231</v>
      </c>
      <c r="B39" s="13" t="s">
        <v>220</v>
      </c>
      <c r="C39" s="13" t="s">
        <v>115</v>
      </c>
      <c r="D39" s="13" t="s">
        <v>28</v>
      </c>
      <c r="E39" s="59">
        <f t="shared" si="1"/>
        <v>0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x14ac:dyDescent="0.25">
      <c r="A40" s="61" t="s">
        <v>232</v>
      </c>
      <c r="B40" s="61"/>
      <c r="C40" s="61"/>
      <c r="D40" s="61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</row>
    <row r="41" spans="1:20" ht="47.25" x14ac:dyDescent="0.25">
      <c r="A41" s="13" t="s">
        <v>306</v>
      </c>
      <c r="B41" s="13" t="s">
        <v>131</v>
      </c>
      <c r="C41" s="13" t="s">
        <v>115</v>
      </c>
      <c r="D41" s="13" t="s">
        <v>28</v>
      </c>
      <c r="E41" s="59">
        <f t="shared" si="1"/>
        <v>180000</v>
      </c>
      <c r="F41" s="59"/>
      <c r="G41" s="59"/>
      <c r="H41" s="59"/>
      <c r="I41" s="59"/>
      <c r="J41" s="59"/>
      <c r="K41" s="59">
        <v>90000</v>
      </c>
      <c r="L41" s="59"/>
      <c r="M41" s="59"/>
      <c r="N41" s="59"/>
      <c r="O41" s="59"/>
      <c r="P41" s="59">
        <v>90000</v>
      </c>
      <c r="Q41" s="59"/>
      <c r="R41" s="59"/>
      <c r="S41" s="59"/>
      <c r="T41" s="59"/>
    </row>
    <row r="42" spans="1:20" ht="47.25" x14ac:dyDescent="0.25">
      <c r="A42" s="13" t="s">
        <v>307</v>
      </c>
      <c r="B42" s="13" t="s">
        <v>131</v>
      </c>
      <c r="C42" s="13" t="s">
        <v>115</v>
      </c>
      <c r="D42" s="13" t="s">
        <v>28</v>
      </c>
      <c r="E42" s="59">
        <f t="shared" si="1"/>
        <v>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ht="96.75" customHeight="1" x14ac:dyDescent="0.25">
      <c r="A43" s="17" t="s">
        <v>162</v>
      </c>
      <c r="B43" s="18"/>
      <c r="C43" s="18" t="s">
        <v>149</v>
      </c>
      <c r="D43" s="18" t="s">
        <v>144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63" x14ac:dyDescent="0.25">
      <c r="A44" s="62" t="s">
        <v>233</v>
      </c>
      <c r="B44" s="62" t="s">
        <v>240</v>
      </c>
      <c r="C44" s="62" t="s">
        <v>234</v>
      </c>
      <c r="D44" s="62" t="s">
        <v>216</v>
      </c>
      <c r="E44" s="63"/>
      <c r="F44" s="64">
        <v>19.670000000000002</v>
      </c>
      <c r="G44" s="64">
        <v>19.670000000000002</v>
      </c>
      <c r="H44" s="64"/>
      <c r="I44" s="64">
        <v>19.670000000000002</v>
      </c>
      <c r="J44" s="64"/>
      <c r="K44" s="64"/>
      <c r="L44" s="64"/>
      <c r="M44" s="64">
        <v>19.670000000000002</v>
      </c>
      <c r="N44" s="64"/>
      <c r="O44" s="64"/>
      <c r="P44" s="64"/>
      <c r="Q44" s="64"/>
      <c r="R44" s="64"/>
      <c r="S44" s="64"/>
      <c r="T44" s="64"/>
    </row>
    <row r="45" spans="1:20" ht="63" x14ac:dyDescent="0.25">
      <c r="A45" s="62" t="s">
        <v>241</v>
      </c>
      <c r="B45" s="62" t="s">
        <v>245</v>
      </c>
      <c r="C45" s="62" t="s">
        <v>243</v>
      </c>
      <c r="D45" s="62" t="s">
        <v>216</v>
      </c>
      <c r="E45" s="63"/>
      <c r="F45" s="64"/>
      <c r="G45" s="64"/>
      <c r="H45" s="64">
        <v>99939.28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</row>
    <row r="46" spans="1:20" ht="78.75" x14ac:dyDescent="0.25">
      <c r="A46" s="62" t="s">
        <v>242</v>
      </c>
      <c r="B46" s="62" t="s">
        <v>247</v>
      </c>
      <c r="C46" s="62" t="s">
        <v>244</v>
      </c>
      <c r="D46" s="62" t="s">
        <v>216</v>
      </c>
      <c r="E46" s="63"/>
      <c r="F46" s="64"/>
      <c r="G46" s="64"/>
      <c r="H46" s="64"/>
      <c r="I46" s="64"/>
      <c r="J46" s="64"/>
      <c r="K46" s="64"/>
      <c r="L46" s="64"/>
      <c r="M46" s="64"/>
      <c r="N46" s="64">
        <v>2.79</v>
      </c>
      <c r="O46" s="64"/>
      <c r="P46" s="64"/>
      <c r="Q46" s="64"/>
      <c r="R46" s="64"/>
      <c r="S46" s="64"/>
      <c r="T46" s="63"/>
    </row>
    <row r="47" spans="1:20" ht="63" x14ac:dyDescent="0.25">
      <c r="A47" s="62" t="s">
        <v>252</v>
      </c>
      <c r="B47" s="62" t="s">
        <v>156</v>
      </c>
      <c r="C47" s="62" t="s">
        <v>250</v>
      </c>
      <c r="D47" s="62" t="s">
        <v>216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3"/>
    </row>
    <row r="48" spans="1:20" ht="47.25" x14ac:dyDescent="0.25">
      <c r="A48" s="13" t="s">
        <v>152</v>
      </c>
      <c r="B48" s="13"/>
      <c r="C48" s="13"/>
      <c r="D48" s="1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20"/>
    </row>
    <row r="49" spans="1:20" ht="31.5" x14ac:dyDescent="0.25">
      <c r="A49" s="13" t="s">
        <v>179</v>
      </c>
      <c r="B49" s="13" t="s">
        <v>131</v>
      </c>
      <c r="C49" s="13"/>
      <c r="D49" s="13"/>
      <c r="E49" s="53"/>
      <c r="F49" s="53"/>
      <c r="G49" s="53"/>
      <c r="H49" s="53">
        <v>1680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0"/>
    </row>
    <row r="50" spans="1:20" ht="31.5" x14ac:dyDescent="0.25">
      <c r="A50" s="13" t="s">
        <v>180</v>
      </c>
      <c r="B50" s="13" t="s">
        <v>131</v>
      </c>
      <c r="C50" s="13"/>
      <c r="D50" s="13"/>
      <c r="E50" s="53"/>
      <c r="F50" s="53"/>
      <c r="G50" s="53"/>
      <c r="H50" s="53">
        <v>3300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0"/>
    </row>
    <row r="51" spans="1:20" ht="31.5" x14ac:dyDescent="0.25">
      <c r="A51" s="13" t="s">
        <v>181</v>
      </c>
      <c r="B51" s="13" t="s">
        <v>156</v>
      </c>
      <c r="C51" s="13"/>
      <c r="D51" s="13"/>
      <c r="E51" s="21"/>
      <c r="F51" s="21"/>
      <c r="G51" s="21"/>
      <c r="H51" s="21">
        <v>3.13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0"/>
    </row>
    <row r="52" spans="1:20" ht="31.5" x14ac:dyDescent="0.25">
      <c r="A52" s="13" t="s">
        <v>178</v>
      </c>
      <c r="B52" s="13" t="s">
        <v>156</v>
      </c>
      <c r="C52" s="13"/>
      <c r="D52" s="13"/>
      <c r="E52" s="21"/>
      <c r="F52" s="21"/>
      <c r="G52" s="21"/>
      <c r="H52" s="21">
        <v>1.76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0"/>
    </row>
    <row r="53" spans="1:20" ht="63" x14ac:dyDescent="0.25">
      <c r="A53" s="62" t="s">
        <v>339</v>
      </c>
      <c r="B53" s="62" t="s">
        <v>160</v>
      </c>
      <c r="C53" s="62" t="s">
        <v>249</v>
      </c>
      <c r="D53" s="62" t="s">
        <v>35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>
        <v>43.02</v>
      </c>
      <c r="Q53" s="64"/>
      <c r="R53" s="64"/>
      <c r="S53" s="64"/>
      <c r="T53" s="64"/>
    </row>
    <row r="54" spans="1:20" ht="47.25" x14ac:dyDescent="0.25">
      <c r="A54" s="13" t="s">
        <v>152</v>
      </c>
      <c r="B54" s="13"/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0"/>
    </row>
    <row r="55" spans="1:20" ht="31.5" x14ac:dyDescent="0.25">
      <c r="A55" s="13" t="s">
        <v>179</v>
      </c>
      <c r="B55" s="13" t="s">
        <v>132</v>
      </c>
      <c r="C55" s="13"/>
      <c r="D55" s="13"/>
      <c r="E55" s="16"/>
      <c r="F55" s="53"/>
      <c r="G55" s="53"/>
      <c r="H55" s="53"/>
      <c r="I55" s="53"/>
      <c r="J55" s="53"/>
      <c r="K55" s="53">
        <v>1500</v>
      </c>
      <c r="L55" s="53"/>
      <c r="M55" s="53"/>
      <c r="N55" s="53"/>
      <c r="O55" s="53"/>
      <c r="P55" s="53"/>
      <c r="Q55" s="53"/>
      <c r="R55" s="53"/>
      <c r="S55" s="53"/>
      <c r="T55" s="20"/>
    </row>
    <row r="56" spans="1:20" ht="31.5" x14ac:dyDescent="0.25">
      <c r="A56" s="13" t="s">
        <v>180</v>
      </c>
      <c r="B56" s="13" t="s">
        <v>132</v>
      </c>
      <c r="C56" s="13"/>
      <c r="D56" s="13"/>
      <c r="E56" s="16"/>
      <c r="F56" s="53"/>
      <c r="G56" s="53"/>
      <c r="H56" s="53"/>
      <c r="I56" s="53"/>
      <c r="J56" s="53"/>
      <c r="K56" s="53">
        <v>3000</v>
      </c>
      <c r="L56" s="53"/>
      <c r="M56" s="53"/>
      <c r="N56" s="53"/>
      <c r="O56" s="53"/>
      <c r="P56" s="53"/>
      <c r="Q56" s="53"/>
      <c r="R56" s="53"/>
      <c r="S56" s="53"/>
      <c r="T56" s="20"/>
    </row>
    <row r="57" spans="1:20" ht="31.5" x14ac:dyDescent="0.25">
      <c r="A57" s="13" t="s">
        <v>181</v>
      </c>
      <c r="B57" s="13" t="s">
        <v>160</v>
      </c>
      <c r="C57" s="13"/>
      <c r="D57" s="13"/>
      <c r="E57" s="16"/>
      <c r="F57" s="21"/>
      <c r="G57" s="21"/>
      <c r="H57" s="21"/>
      <c r="I57" s="21"/>
      <c r="J57" s="21"/>
      <c r="K57" s="21">
        <v>43.02</v>
      </c>
      <c r="L57" s="21"/>
      <c r="M57" s="21"/>
      <c r="N57" s="21"/>
      <c r="O57" s="21"/>
      <c r="P57" s="21"/>
      <c r="Q57" s="21"/>
      <c r="R57" s="21"/>
      <c r="S57" s="21"/>
      <c r="T57" s="20"/>
    </row>
    <row r="58" spans="1:20" ht="31.5" x14ac:dyDescent="0.25">
      <c r="A58" s="13" t="s">
        <v>178</v>
      </c>
      <c r="B58" s="13" t="s">
        <v>160</v>
      </c>
      <c r="C58" s="13"/>
      <c r="D58" s="13"/>
      <c r="E58" s="16"/>
      <c r="F58" s="21"/>
      <c r="G58" s="21"/>
      <c r="H58" s="21"/>
      <c r="I58" s="21"/>
      <c r="J58" s="21"/>
      <c r="K58" s="21">
        <v>34.44</v>
      </c>
      <c r="L58" s="21"/>
      <c r="M58" s="21"/>
      <c r="N58" s="21"/>
      <c r="O58" s="21"/>
      <c r="P58" s="21"/>
      <c r="Q58" s="21"/>
      <c r="R58" s="21"/>
      <c r="S58" s="21"/>
      <c r="T58" s="20"/>
    </row>
    <row r="59" spans="1:20" ht="47.25" x14ac:dyDescent="0.25">
      <c r="A59" s="62" t="s">
        <v>253</v>
      </c>
      <c r="B59" s="62"/>
      <c r="C59" s="62"/>
      <c r="D59" s="62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3"/>
    </row>
    <row r="60" spans="1:20" ht="63" x14ac:dyDescent="0.25">
      <c r="A60" s="62" t="s">
        <v>254</v>
      </c>
      <c r="B60" s="62" t="s">
        <v>156</v>
      </c>
      <c r="C60" s="62" t="s">
        <v>251</v>
      </c>
      <c r="D60" s="62" t="s">
        <v>216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</row>
    <row r="61" spans="1:20" ht="47.25" x14ac:dyDescent="0.25">
      <c r="A61" s="39" t="s">
        <v>152</v>
      </c>
      <c r="B61" s="13"/>
      <c r="C61" s="39"/>
      <c r="D61" s="39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0" ht="31.5" x14ac:dyDescent="0.25">
      <c r="A62" s="39" t="s">
        <v>179</v>
      </c>
      <c r="B62" s="13" t="s">
        <v>131</v>
      </c>
      <c r="C62" s="39"/>
      <c r="D62" s="39"/>
      <c r="E62" s="78"/>
      <c r="F62" s="78"/>
      <c r="G62" s="78"/>
      <c r="H62" s="78"/>
      <c r="I62" s="78"/>
      <c r="J62" s="78"/>
      <c r="K62" s="78">
        <v>56000</v>
      </c>
      <c r="L62" s="78"/>
      <c r="M62" s="78"/>
      <c r="N62" s="78"/>
      <c r="O62" s="78"/>
      <c r="P62" s="78"/>
      <c r="Q62" s="78"/>
      <c r="R62" s="78"/>
      <c r="S62" s="78"/>
      <c r="T62" s="78"/>
    </row>
    <row r="63" spans="1:20" ht="31.5" x14ac:dyDescent="0.25">
      <c r="A63" s="39" t="s">
        <v>180</v>
      </c>
      <c r="B63" s="13" t="s">
        <v>131</v>
      </c>
      <c r="C63" s="39"/>
      <c r="D63" s="39"/>
      <c r="E63" s="78"/>
      <c r="F63" s="78"/>
      <c r="G63" s="78"/>
      <c r="H63" s="78"/>
      <c r="I63" s="78"/>
      <c r="J63" s="78"/>
      <c r="K63" s="78">
        <v>220000</v>
      </c>
      <c r="L63" s="78"/>
      <c r="M63" s="78"/>
      <c r="N63" s="78"/>
      <c r="O63" s="78"/>
      <c r="P63" s="78"/>
      <c r="Q63" s="78"/>
      <c r="R63" s="78"/>
      <c r="S63" s="78"/>
      <c r="T63" s="78"/>
    </row>
    <row r="64" spans="1:20" ht="31.5" x14ac:dyDescent="0.25">
      <c r="A64" s="39" t="s">
        <v>181</v>
      </c>
      <c r="B64" s="13" t="s">
        <v>156</v>
      </c>
      <c r="C64" s="39"/>
      <c r="D64" s="39"/>
      <c r="E64" s="77"/>
      <c r="F64" s="77"/>
      <c r="G64" s="77"/>
      <c r="H64" s="77"/>
      <c r="I64" s="77"/>
      <c r="J64" s="77"/>
      <c r="K64" s="79">
        <v>3.12</v>
      </c>
      <c r="L64" s="77"/>
      <c r="M64" s="77"/>
      <c r="N64" s="77"/>
      <c r="O64" s="77"/>
      <c r="P64" s="77"/>
      <c r="Q64" s="77"/>
      <c r="R64" s="77"/>
      <c r="S64" s="77"/>
      <c r="T64" s="77"/>
    </row>
    <row r="65" spans="1:20" ht="31.5" x14ac:dyDescent="0.25">
      <c r="A65" s="39" t="s">
        <v>178</v>
      </c>
      <c r="B65" s="39" t="s">
        <v>156</v>
      </c>
      <c r="C65" s="39"/>
      <c r="D65" s="39"/>
      <c r="E65" s="77"/>
      <c r="F65" s="77"/>
      <c r="G65" s="77"/>
      <c r="H65" s="77"/>
      <c r="I65" s="77"/>
      <c r="J65" s="77"/>
      <c r="K65" s="79">
        <v>0.74</v>
      </c>
      <c r="L65" s="77"/>
      <c r="M65" s="77"/>
      <c r="N65" s="77"/>
      <c r="O65" s="77"/>
      <c r="P65" s="77"/>
      <c r="Q65" s="77"/>
      <c r="R65" s="77"/>
      <c r="S65" s="77"/>
      <c r="T65" s="77"/>
    </row>
    <row r="66" spans="1:20" ht="63" x14ac:dyDescent="0.25">
      <c r="A66" s="62" t="s">
        <v>334</v>
      </c>
      <c r="B66" s="62" t="s">
        <v>156</v>
      </c>
      <c r="C66" s="62" t="s">
        <v>251</v>
      </c>
      <c r="D66" s="62" t="s">
        <v>216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1:20" ht="47.25" x14ac:dyDescent="0.25">
      <c r="A67" s="13" t="s">
        <v>152</v>
      </c>
      <c r="B67" s="13"/>
      <c r="C67" s="13"/>
      <c r="D67" s="13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0"/>
    </row>
    <row r="68" spans="1:20" ht="31.5" x14ac:dyDescent="0.25">
      <c r="A68" s="13" t="s">
        <v>179</v>
      </c>
      <c r="B68" s="13" t="s">
        <v>131</v>
      </c>
      <c r="C68" s="13"/>
      <c r="D68" s="1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>
        <v>56000</v>
      </c>
      <c r="P68" s="53"/>
      <c r="Q68" s="53"/>
      <c r="R68" s="53"/>
      <c r="S68" s="53"/>
      <c r="T68" s="20"/>
    </row>
    <row r="69" spans="1:20" ht="31.5" x14ac:dyDescent="0.25">
      <c r="A69" s="13" t="s">
        <v>180</v>
      </c>
      <c r="B69" s="13" t="s">
        <v>131</v>
      </c>
      <c r="C69" s="13"/>
      <c r="D69" s="1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>
        <v>220000</v>
      </c>
      <c r="P69" s="53"/>
      <c r="Q69" s="53"/>
      <c r="R69" s="53"/>
      <c r="S69" s="53"/>
      <c r="T69" s="20"/>
    </row>
    <row r="70" spans="1:20" ht="31.5" x14ac:dyDescent="0.25">
      <c r="A70" s="13" t="s">
        <v>181</v>
      </c>
      <c r="B70" s="13" t="s">
        <v>156</v>
      </c>
      <c r="C70" s="13"/>
      <c r="D70" s="13"/>
      <c r="E70" s="16"/>
      <c r="F70" s="21"/>
      <c r="G70" s="21"/>
      <c r="H70" s="21"/>
      <c r="I70" s="21"/>
      <c r="J70" s="21"/>
      <c r="K70" s="21"/>
      <c r="L70" s="21"/>
      <c r="M70" s="21"/>
      <c r="N70" s="21"/>
      <c r="O70" s="21">
        <v>1.9</v>
      </c>
      <c r="P70" s="21"/>
      <c r="Q70" s="21"/>
      <c r="R70" s="21"/>
      <c r="S70" s="21"/>
      <c r="T70" s="20"/>
    </row>
    <row r="71" spans="1:20" ht="31.5" x14ac:dyDescent="0.25">
      <c r="A71" s="13" t="s">
        <v>178</v>
      </c>
      <c r="B71" s="39" t="s">
        <v>156</v>
      </c>
      <c r="C71" s="13"/>
      <c r="D71" s="13"/>
      <c r="E71" s="16"/>
      <c r="F71" s="21"/>
      <c r="G71" s="21"/>
      <c r="H71" s="21"/>
      <c r="I71" s="21"/>
      <c r="J71" s="21"/>
      <c r="K71" s="21"/>
      <c r="L71" s="21"/>
      <c r="M71" s="21"/>
      <c r="N71" s="21"/>
      <c r="O71" s="21">
        <v>0.59</v>
      </c>
      <c r="P71" s="21"/>
      <c r="Q71" s="21"/>
      <c r="R71" s="21"/>
      <c r="S71" s="21"/>
      <c r="T71" s="20"/>
    </row>
    <row r="72" spans="1:20" ht="78.75" x14ac:dyDescent="0.25">
      <c r="A72" s="62" t="s">
        <v>267</v>
      </c>
      <c r="B72" s="62" t="s">
        <v>268</v>
      </c>
      <c r="C72" s="62" t="s">
        <v>251</v>
      </c>
      <c r="D72" s="62" t="s">
        <v>216</v>
      </c>
      <c r="E72" s="63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>
        <v>6.15</v>
      </c>
      <c r="Q72" s="64"/>
      <c r="R72" s="64"/>
      <c r="S72" s="64"/>
      <c r="T72" s="63"/>
    </row>
    <row r="73" spans="1:20" ht="63" x14ac:dyDescent="0.25">
      <c r="A73" s="62" t="s">
        <v>270</v>
      </c>
      <c r="B73" s="62" t="s">
        <v>156</v>
      </c>
      <c r="C73" s="62" t="s">
        <v>251</v>
      </c>
      <c r="D73" s="62" t="s">
        <v>216</v>
      </c>
      <c r="E73" s="63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3"/>
    </row>
    <row r="74" spans="1:20" ht="47.25" x14ac:dyDescent="0.25">
      <c r="A74" s="13" t="s">
        <v>152</v>
      </c>
      <c r="B74" s="13"/>
      <c r="C74" s="13"/>
      <c r="D74" s="13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20"/>
    </row>
    <row r="75" spans="1:20" ht="31.5" x14ac:dyDescent="0.25">
      <c r="A75" s="13" t="s">
        <v>179</v>
      </c>
      <c r="B75" s="13" t="s">
        <v>131</v>
      </c>
      <c r="C75" s="13"/>
      <c r="D75" s="13"/>
      <c r="E75" s="53"/>
      <c r="F75" s="53"/>
      <c r="G75" s="53"/>
      <c r="H75" s="53"/>
      <c r="I75" s="53"/>
      <c r="J75" s="53"/>
      <c r="K75" s="53"/>
      <c r="L75" s="53"/>
      <c r="M75" s="53"/>
      <c r="N75" s="53">
        <v>73500</v>
      </c>
      <c r="O75" s="53"/>
      <c r="P75" s="53"/>
      <c r="Q75" s="53"/>
      <c r="R75" s="53"/>
      <c r="S75" s="53"/>
      <c r="T75" s="20"/>
    </row>
    <row r="76" spans="1:20" ht="31.5" x14ac:dyDescent="0.25">
      <c r="A76" s="13" t="s">
        <v>180</v>
      </c>
      <c r="B76" s="13" t="s">
        <v>131</v>
      </c>
      <c r="C76" s="13"/>
      <c r="D76" s="13"/>
      <c r="E76" s="53"/>
      <c r="F76" s="53"/>
      <c r="G76" s="53"/>
      <c r="H76" s="53"/>
      <c r="I76" s="53"/>
      <c r="J76" s="53"/>
      <c r="K76" s="53"/>
      <c r="L76" s="53"/>
      <c r="M76" s="53"/>
      <c r="N76" s="53">
        <v>176000</v>
      </c>
      <c r="O76" s="53"/>
      <c r="P76" s="53"/>
      <c r="Q76" s="53"/>
      <c r="R76" s="53"/>
      <c r="S76" s="53"/>
      <c r="T76" s="20"/>
    </row>
    <row r="77" spans="1:20" ht="31.5" x14ac:dyDescent="0.25">
      <c r="A77" s="13" t="s">
        <v>181</v>
      </c>
      <c r="B77" s="13" t="s">
        <v>156</v>
      </c>
      <c r="C77" s="13"/>
      <c r="D77" s="13"/>
      <c r="E77" s="21"/>
      <c r="F77" s="21"/>
      <c r="G77" s="21"/>
      <c r="H77" s="21"/>
      <c r="I77" s="21"/>
      <c r="J77" s="21"/>
      <c r="K77" s="21"/>
      <c r="L77" s="21"/>
      <c r="M77" s="21"/>
      <c r="N77" s="21">
        <v>2.2599999999999998</v>
      </c>
      <c r="O77" s="21"/>
      <c r="P77" s="21"/>
      <c r="Q77" s="21"/>
      <c r="R77" s="21"/>
      <c r="S77" s="21"/>
      <c r="T77" s="20"/>
    </row>
    <row r="78" spans="1:20" ht="31.5" x14ac:dyDescent="0.25">
      <c r="A78" s="13" t="s">
        <v>178</v>
      </c>
      <c r="B78" s="39" t="s">
        <v>156</v>
      </c>
      <c r="C78" s="13"/>
      <c r="D78" s="13"/>
      <c r="E78" s="21"/>
      <c r="F78" s="21"/>
      <c r="G78" s="21"/>
      <c r="H78" s="21"/>
      <c r="I78" s="21"/>
      <c r="J78" s="21"/>
      <c r="K78" s="21"/>
      <c r="L78" s="21"/>
      <c r="M78" s="21"/>
      <c r="N78" s="21">
        <v>1.07</v>
      </c>
      <c r="O78" s="21"/>
      <c r="P78" s="21"/>
      <c r="Q78" s="21"/>
      <c r="R78" s="21"/>
      <c r="S78" s="21"/>
      <c r="T78" s="20"/>
    </row>
    <row r="79" spans="1:20" ht="63" x14ac:dyDescent="0.25">
      <c r="A79" s="62" t="s">
        <v>271</v>
      </c>
      <c r="B79" s="62" t="s">
        <v>269</v>
      </c>
      <c r="C79" s="62" t="s">
        <v>251</v>
      </c>
      <c r="D79" s="62" t="s">
        <v>216</v>
      </c>
      <c r="E79" s="82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3"/>
    </row>
    <row r="80" spans="1:20" ht="47.25" x14ac:dyDescent="0.25">
      <c r="A80" s="13" t="s">
        <v>152</v>
      </c>
      <c r="B80" s="13"/>
      <c r="C80" s="13"/>
      <c r="D80" s="13"/>
      <c r="E80" s="8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0"/>
    </row>
    <row r="81" spans="1:20" ht="31.5" x14ac:dyDescent="0.25">
      <c r="A81" s="13" t="s">
        <v>179</v>
      </c>
      <c r="B81" s="13" t="s">
        <v>219</v>
      </c>
      <c r="C81" s="13"/>
      <c r="D81" s="13"/>
      <c r="E81" s="8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>
        <v>9</v>
      </c>
      <c r="R81" s="53"/>
      <c r="S81" s="53"/>
      <c r="T81" s="20"/>
    </row>
    <row r="82" spans="1:20" ht="31.5" x14ac:dyDescent="0.25">
      <c r="A82" s="13" t="s">
        <v>180</v>
      </c>
      <c r="B82" s="13" t="s">
        <v>219</v>
      </c>
      <c r="C82" s="13"/>
      <c r="D82" s="13"/>
      <c r="E82" s="8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>
        <v>43</v>
      </c>
      <c r="R82" s="53"/>
      <c r="S82" s="53"/>
      <c r="T82" s="20"/>
    </row>
    <row r="83" spans="1:20" ht="31.5" x14ac:dyDescent="0.25">
      <c r="A83" s="13" t="s">
        <v>181</v>
      </c>
      <c r="B83" s="13" t="s">
        <v>269</v>
      </c>
      <c r="C83" s="13"/>
      <c r="D83" s="13"/>
      <c r="E83" s="8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>
        <v>11704.09</v>
      </c>
      <c r="R83" s="21"/>
      <c r="S83" s="21"/>
      <c r="T83" s="20"/>
    </row>
    <row r="84" spans="1:20" ht="31.5" x14ac:dyDescent="0.25">
      <c r="A84" s="13" t="s">
        <v>178</v>
      </c>
      <c r="B84" s="39" t="s">
        <v>269</v>
      </c>
      <c r="C84" s="13"/>
      <c r="D84" s="13"/>
      <c r="E84" s="8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>
        <v>6478.4</v>
      </c>
      <c r="R84" s="21"/>
      <c r="S84" s="21"/>
      <c r="T84" s="20"/>
    </row>
    <row r="85" spans="1:20" ht="117.75" customHeight="1" x14ac:dyDescent="0.25">
      <c r="A85" s="62" t="s">
        <v>274</v>
      </c>
      <c r="B85" s="62" t="s">
        <v>273</v>
      </c>
      <c r="C85" s="62" t="s">
        <v>251</v>
      </c>
      <c r="D85" s="62" t="s">
        <v>216</v>
      </c>
      <c r="E85" s="82"/>
      <c r="F85" s="64"/>
      <c r="G85" s="64"/>
      <c r="H85" s="64"/>
      <c r="I85" s="64"/>
      <c r="J85" s="64">
        <v>12.81</v>
      </c>
      <c r="K85" s="64"/>
      <c r="L85" s="64"/>
      <c r="M85" s="64"/>
      <c r="N85" s="64"/>
      <c r="O85" s="64"/>
      <c r="P85" s="64"/>
      <c r="Q85" s="64"/>
      <c r="R85" s="64"/>
      <c r="S85" s="64"/>
      <c r="T85" s="63"/>
    </row>
    <row r="86" spans="1:20" ht="63" x14ac:dyDescent="0.25">
      <c r="A86" s="62" t="s">
        <v>272</v>
      </c>
      <c r="B86" s="62" t="s">
        <v>156</v>
      </c>
      <c r="C86" s="62" t="s">
        <v>251</v>
      </c>
      <c r="D86" s="62" t="s">
        <v>216</v>
      </c>
      <c r="E86" s="82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3"/>
    </row>
    <row r="87" spans="1:20" ht="47.25" x14ac:dyDescent="0.25">
      <c r="A87" s="13" t="s">
        <v>152</v>
      </c>
      <c r="B87" s="13"/>
      <c r="C87" s="13"/>
      <c r="D87" s="13"/>
      <c r="E87" s="8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84"/>
    </row>
    <row r="88" spans="1:20" ht="31.5" x14ac:dyDescent="0.25">
      <c r="A88" s="13" t="s">
        <v>179</v>
      </c>
      <c r="B88" s="13" t="s">
        <v>131</v>
      </c>
      <c r="C88" s="13"/>
      <c r="D88" s="13"/>
      <c r="E88" s="83"/>
      <c r="F88" s="53"/>
      <c r="G88" s="53"/>
      <c r="H88" s="53"/>
      <c r="I88" s="53"/>
      <c r="J88" s="53"/>
      <c r="K88" s="53">
        <v>73500</v>
      </c>
      <c r="L88" s="53"/>
      <c r="M88" s="53"/>
      <c r="N88" s="53"/>
      <c r="O88" s="53"/>
      <c r="P88" s="53">
        <v>73500</v>
      </c>
      <c r="Q88" s="53"/>
      <c r="R88" s="53"/>
      <c r="S88" s="53"/>
      <c r="T88" s="84"/>
    </row>
    <row r="89" spans="1:20" ht="31.5" x14ac:dyDescent="0.25">
      <c r="A89" s="13" t="s">
        <v>180</v>
      </c>
      <c r="B89" s="13" t="s">
        <v>131</v>
      </c>
      <c r="C89" s="13"/>
      <c r="D89" s="13"/>
      <c r="E89" s="83"/>
      <c r="F89" s="53"/>
      <c r="G89" s="53"/>
      <c r="H89" s="53"/>
      <c r="I89" s="53"/>
      <c r="J89" s="53"/>
      <c r="K89" s="53">
        <v>147000</v>
      </c>
      <c r="L89" s="53"/>
      <c r="M89" s="53"/>
      <c r="N89" s="53"/>
      <c r="O89" s="53"/>
      <c r="P89" s="53">
        <v>147000</v>
      </c>
      <c r="Q89" s="53"/>
      <c r="R89" s="53"/>
      <c r="S89" s="53"/>
      <c r="T89" s="20"/>
    </row>
    <row r="90" spans="1:20" ht="31.5" x14ac:dyDescent="0.25">
      <c r="A90" s="13" t="s">
        <v>181</v>
      </c>
      <c r="B90" s="13" t="s">
        <v>156</v>
      </c>
      <c r="C90" s="13"/>
      <c r="D90" s="13"/>
      <c r="E90" s="81"/>
      <c r="F90" s="21"/>
      <c r="G90" s="21"/>
      <c r="H90" s="21"/>
      <c r="I90" s="21"/>
      <c r="J90" s="21"/>
      <c r="K90" s="21">
        <v>12.24</v>
      </c>
      <c r="L90" s="21"/>
      <c r="M90" s="21"/>
      <c r="N90" s="21"/>
      <c r="O90" s="21"/>
      <c r="P90" s="21">
        <v>12.24</v>
      </c>
      <c r="Q90" s="21"/>
      <c r="R90" s="21"/>
      <c r="S90" s="21"/>
      <c r="T90" s="20"/>
    </row>
    <row r="91" spans="1:20" ht="31.5" x14ac:dyDescent="0.25">
      <c r="A91" s="13" t="s">
        <v>178</v>
      </c>
      <c r="B91" s="39" t="s">
        <v>156</v>
      </c>
      <c r="C91" s="13"/>
      <c r="D91" s="13"/>
      <c r="E91" s="81"/>
      <c r="F91" s="21"/>
      <c r="G91" s="21"/>
      <c r="H91" s="21"/>
      <c r="I91" s="21"/>
      <c r="J91" s="21"/>
      <c r="K91" s="21">
        <v>11.09</v>
      </c>
      <c r="L91" s="21"/>
      <c r="M91" s="21"/>
      <c r="N91" s="21"/>
      <c r="O91" s="21"/>
      <c r="P91" s="21">
        <v>11.09</v>
      </c>
      <c r="Q91" s="21"/>
      <c r="R91" s="21"/>
      <c r="S91" s="21"/>
      <c r="T91" s="20"/>
    </row>
    <row r="92" spans="1:20" x14ac:dyDescent="0.25">
      <c r="A92" s="115" t="s">
        <v>331</v>
      </c>
      <c r="B92" s="118"/>
      <c r="C92" s="118"/>
      <c r="D92" s="118"/>
      <c r="E92" s="118"/>
      <c r="F92" s="118"/>
      <c r="G92" s="118"/>
      <c r="H92" s="119"/>
      <c r="I92" s="19"/>
      <c r="J92" s="19"/>
      <c r="K92" s="19"/>
      <c r="L92" s="19"/>
      <c r="M92" s="19"/>
      <c r="N92" s="19"/>
      <c r="O92" s="12"/>
      <c r="P92" s="12"/>
      <c r="Q92" s="12"/>
      <c r="R92" s="12"/>
      <c r="S92" s="12"/>
      <c r="T92" s="12"/>
    </row>
    <row r="93" spans="1:20" ht="79.5" customHeight="1" x14ac:dyDescent="0.25">
      <c r="A93" s="13" t="s">
        <v>164</v>
      </c>
      <c r="B93" s="13" t="s">
        <v>40</v>
      </c>
      <c r="C93" s="13" t="s">
        <v>167</v>
      </c>
      <c r="D93" s="13" t="s">
        <v>166</v>
      </c>
      <c r="E93" s="21">
        <v>0.93</v>
      </c>
      <c r="F93" s="16"/>
      <c r="G93" s="16"/>
      <c r="H93" s="16"/>
      <c r="I93" s="16"/>
      <c r="J93" s="16"/>
      <c r="K93" s="16"/>
      <c r="L93" s="16"/>
      <c r="M93" s="16"/>
      <c r="N93" s="16"/>
      <c r="O93" s="22"/>
      <c r="P93" s="22"/>
      <c r="Q93" s="22"/>
      <c r="R93" s="22"/>
      <c r="S93" s="22"/>
      <c r="T93" s="3"/>
    </row>
    <row r="94" spans="1:20" ht="79.5" customHeight="1" x14ac:dyDescent="0.25">
      <c r="A94" s="13" t="s">
        <v>168</v>
      </c>
      <c r="B94" s="13" t="s">
        <v>40</v>
      </c>
      <c r="C94" s="13" t="s">
        <v>170</v>
      </c>
      <c r="D94" s="13" t="s">
        <v>169</v>
      </c>
      <c r="E94" s="21">
        <v>1</v>
      </c>
      <c r="F94" s="16"/>
      <c r="G94" s="16"/>
      <c r="H94" s="16"/>
      <c r="I94" s="16"/>
      <c r="J94" s="16"/>
      <c r="K94" s="16"/>
      <c r="L94" s="16"/>
      <c r="M94" s="16"/>
      <c r="N94" s="16"/>
      <c r="O94" s="22"/>
      <c r="P94" s="22"/>
      <c r="Q94" s="22"/>
      <c r="R94" s="22"/>
      <c r="S94" s="22"/>
      <c r="T94" s="3"/>
    </row>
    <row r="95" spans="1:20" ht="78.75" customHeight="1" x14ac:dyDescent="0.25">
      <c r="A95" s="13" t="s">
        <v>165</v>
      </c>
      <c r="B95" s="13" t="s">
        <v>40</v>
      </c>
      <c r="C95" s="13" t="s">
        <v>172</v>
      </c>
      <c r="D95" s="13" t="s">
        <v>171</v>
      </c>
      <c r="E95" s="21">
        <v>1.01</v>
      </c>
      <c r="F95" s="16"/>
      <c r="G95" s="16"/>
      <c r="H95" s="16"/>
      <c r="I95" s="16"/>
      <c r="J95" s="16"/>
      <c r="K95" s="16"/>
      <c r="L95" s="16"/>
      <c r="M95" s="16"/>
      <c r="N95" s="16"/>
      <c r="O95" s="22"/>
      <c r="P95" s="22"/>
      <c r="Q95" s="22"/>
      <c r="R95" s="22"/>
      <c r="S95" s="22"/>
      <c r="T95" s="3"/>
    </row>
    <row r="96" spans="1:20" ht="78.75" customHeight="1" x14ac:dyDescent="0.25">
      <c r="A96" s="13" t="s">
        <v>328</v>
      </c>
      <c r="B96" s="13" t="s">
        <v>40</v>
      </c>
      <c r="C96" s="13" t="s">
        <v>173</v>
      </c>
      <c r="D96" s="13" t="s">
        <v>56</v>
      </c>
      <c r="E96" s="21">
        <v>1</v>
      </c>
      <c r="F96" s="16"/>
      <c r="G96" s="16"/>
      <c r="H96" s="16"/>
      <c r="I96" s="16"/>
      <c r="J96" s="16"/>
      <c r="K96" s="16"/>
      <c r="L96" s="16"/>
      <c r="M96" s="16"/>
      <c r="N96" s="16"/>
      <c r="O96" s="22"/>
      <c r="P96" s="22"/>
      <c r="Q96" s="22"/>
      <c r="R96" s="22"/>
      <c r="S96" s="22"/>
      <c r="T96" s="3"/>
    </row>
    <row r="97" spans="1:20" s="33" customFormat="1" x14ac:dyDescent="0.25">
      <c r="A97" s="7" t="s">
        <v>69</v>
      </c>
      <c r="B97" s="31"/>
      <c r="C97" s="31"/>
      <c r="D97" s="31"/>
      <c r="E97" s="31" t="s">
        <v>314</v>
      </c>
      <c r="F97" s="32">
        <v>2022</v>
      </c>
      <c r="G97" s="32">
        <v>2023</v>
      </c>
      <c r="H97" s="32">
        <v>2024</v>
      </c>
      <c r="I97" s="32">
        <v>2025</v>
      </c>
      <c r="J97" s="32">
        <v>2026</v>
      </c>
      <c r="K97" s="32">
        <v>2027</v>
      </c>
      <c r="L97" s="32">
        <v>2028</v>
      </c>
      <c r="M97" s="32">
        <v>2029</v>
      </c>
      <c r="N97" s="32">
        <v>2030</v>
      </c>
      <c r="O97" s="32">
        <v>2031</v>
      </c>
      <c r="P97" s="32">
        <v>2032</v>
      </c>
      <c r="Q97" s="32">
        <v>2033</v>
      </c>
      <c r="R97" s="32">
        <v>2034</v>
      </c>
      <c r="S97" s="32">
        <v>2035</v>
      </c>
      <c r="T97" s="32" t="s">
        <v>70</v>
      </c>
    </row>
    <row r="98" spans="1:20" s="33" customFormat="1" ht="47.25" x14ac:dyDescent="0.25">
      <c r="A98" s="70" t="s">
        <v>278</v>
      </c>
      <c r="B98" s="70" t="s">
        <v>71</v>
      </c>
      <c r="C98" s="70" t="s">
        <v>72</v>
      </c>
      <c r="D98" s="70" t="s">
        <v>73</v>
      </c>
      <c r="E98" s="71">
        <f>SUM(F98:S98)</f>
        <v>369520.62000000005</v>
      </c>
      <c r="F98" s="72">
        <f>F99+F100</f>
        <v>0</v>
      </c>
      <c r="G98" s="72">
        <f t="shared" ref="G98:S98" si="2">G99+G100</f>
        <v>184760.31000000003</v>
      </c>
      <c r="H98" s="72">
        <f t="shared" si="2"/>
        <v>0</v>
      </c>
      <c r="I98" s="72">
        <f t="shared" si="2"/>
        <v>0</v>
      </c>
      <c r="J98" s="72">
        <f t="shared" si="2"/>
        <v>0</v>
      </c>
      <c r="K98" s="72">
        <f t="shared" si="2"/>
        <v>0</v>
      </c>
      <c r="L98" s="72">
        <f t="shared" si="2"/>
        <v>0</v>
      </c>
      <c r="M98" s="72">
        <f t="shared" si="2"/>
        <v>184760.31000000003</v>
      </c>
      <c r="N98" s="72">
        <f t="shared" si="2"/>
        <v>0</v>
      </c>
      <c r="O98" s="72">
        <f t="shared" si="2"/>
        <v>0</v>
      </c>
      <c r="P98" s="72">
        <f t="shared" si="2"/>
        <v>0</v>
      </c>
      <c r="Q98" s="72">
        <f t="shared" si="2"/>
        <v>0</v>
      </c>
      <c r="R98" s="72">
        <f t="shared" si="2"/>
        <v>0</v>
      </c>
      <c r="S98" s="72">
        <f t="shared" si="2"/>
        <v>0</v>
      </c>
      <c r="T98" s="36">
        <f>T99+T100</f>
        <v>369520.62000000005</v>
      </c>
    </row>
    <row r="99" spans="1:20" s="33" customFormat="1" ht="31.5" x14ac:dyDescent="0.25">
      <c r="A99" s="34" t="s">
        <v>275</v>
      </c>
      <c r="B99" s="34"/>
      <c r="C99" s="34"/>
      <c r="D99" s="34"/>
      <c r="E99" s="68"/>
      <c r="F99" s="68">
        <f t="shared" ref="F99:S99" si="3">(IF(F7=0,0,F44*F7))*$E$93*$E$94*$E$95*$E$96</f>
        <v>0</v>
      </c>
      <c r="G99" s="68">
        <f t="shared" si="3"/>
        <v>184760.31000000003</v>
      </c>
      <c r="H99" s="68">
        <f t="shared" si="3"/>
        <v>0</v>
      </c>
      <c r="I99" s="68">
        <f t="shared" si="3"/>
        <v>0</v>
      </c>
      <c r="J99" s="68">
        <f t="shared" si="3"/>
        <v>0</v>
      </c>
      <c r="K99" s="68">
        <f t="shared" si="3"/>
        <v>0</v>
      </c>
      <c r="L99" s="68">
        <f t="shared" si="3"/>
        <v>0</v>
      </c>
      <c r="M99" s="68">
        <f t="shared" si="3"/>
        <v>0</v>
      </c>
      <c r="N99" s="68">
        <f t="shared" si="3"/>
        <v>0</v>
      </c>
      <c r="O99" s="68">
        <f t="shared" si="3"/>
        <v>0</v>
      </c>
      <c r="P99" s="68">
        <f t="shared" si="3"/>
        <v>0</v>
      </c>
      <c r="Q99" s="68">
        <f t="shared" si="3"/>
        <v>0</v>
      </c>
      <c r="R99" s="68">
        <f t="shared" si="3"/>
        <v>0</v>
      </c>
      <c r="S99" s="68">
        <f t="shared" si="3"/>
        <v>0</v>
      </c>
      <c r="T99" s="36">
        <f>SUM(F99:S99)</f>
        <v>184760.31000000003</v>
      </c>
    </row>
    <row r="100" spans="1:20" s="33" customFormat="1" ht="31.5" x14ac:dyDescent="0.25">
      <c r="A100" s="34" t="s">
        <v>276</v>
      </c>
      <c r="B100" s="34"/>
      <c r="C100" s="34"/>
      <c r="D100" s="34"/>
      <c r="E100" s="43"/>
      <c r="F100" s="68">
        <f t="shared" ref="F100:S100" si="4">(IF(F8=0,0,F44*F8))*$E$93*$E$94*$E$95*$E$96</f>
        <v>0</v>
      </c>
      <c r="G100" s="68">
        <f t="shared" si="4"/>
        <v>0</v>
      </c>
      <c r="H100" s="68">
        <f t="shared" si="4"/>
        <v>0</v>
      </c>
      <c r="I100" s="68">
        <f t="shared" si="4"/>
        <v>0</v>
      </c>
      <c r="J100" s="68">
        <f t="shared" si="4"/>
        <v>0</v>
      </c>
      <c r="K100" s="68">
        <f t="shared" si="4"/>
        <v>0</v>
      </c>
      <c r="L100" s="68">
        <f t="shared" si="4"/>
        <v>0</v>
      </c>
      <c r="M100" s="68">
        <f t="shared" si="4"/>
        <v>184760.31000000003</v>
      </c>
      <c r="N100" s="68">
        <f t="shared" si="4"/>
        <v>0</v>
      </c>
      <c r="O100" s="68">
        <f t="shared" si="4"/>
        <v>0</v>
      </c>
      <c r="P100" s="68">
        <f t="shared" si="4"/>
        <v>0</v>
      </c>
      <c r="Q100" s="68">
        <f t="shared" si="4"/>
        <v>0</v>
      </c>
      <c r="R100" s="68">
        <f t="shared" si="4"/>
        <v>0</v>
      </c>
      <c r="S100" s="68">
        <f t="shared" si="4"/>
        <v>0</v>
      </c>
      <c r="T100" s="36">
        <f>SUM(F100:S100)</f>
        <v>184760.31000000003</v>
      </c>
    </row>
    <row r="101" spans="1:20" s="33" customFormat="1" ht="50.25" customHeight="1" x14ac:dyDescent="0.25">
      <c r="A101" s="70" t="s">
        <v>277</v>
      </c>
      <c r="B101" s="70"/>
      <c r="C101" s="70"/>
      <c r="D101" s="70"/>
      <c r="E101" s="71">
        <f>SUM(F101:S101)</f>
        <v>93872.965704000002</v>
      </c>
      <c r="F101" s="71">
        <f>F102+F103</f>
        <v>0</v>
      </c>
      <c r="G101" s="71">
        <f t="shared" ref="G101:S101" si="5">G102+G103</f>
        <v>0</v>
      </c>
      <c r="H101" s="71">
        <f t="shared" si="5"/>
        <v>93872.965704000002</v>
      </c>
      <c r="I101" s="71">
        <f t="shared" si="5"/>
        <v>0</v>
      </c>
      <c r="J101" s="71">
        <f t="shared" si="5"/>
        <v>0</v>
      </c>
      <c r="K101" s="71">
        <f t="shared" si="5"/>
        <v>0</v>
      </c>
      <c r="L101" s="71">
        <f t="shared" si="5"/>
        <v>0</v>
      </c>
      <c r="M101" s="71">
        <f t="shared" si="5"/>
        <v>0</v>
      </c>
      <c r="N101" s="71">
        <f t="shared" si="5"/>
        <v>0</v>
      </c>
      <c r="O101" s="71">
        <f t="shared" si="5"/>
        <v>0</v>
      </c>
      <c r="P101" s="71">
        <f t="shared" si="5"/>
        <v>0</v>
      </c>
      <c r="Q101" s="71">
        <f t="shared" si="5"/>
        <v>0</v>
      </c>
      <c r="R101" s="71">
        <f t="shared" si="5"/>
        <v>0</v>
      </c>
      <c r="S101" s="71">
        <f t="shared" si="5"/>
        <v>0</v>
      </c>
      <c r="T101" s="36">
        <f>T102+T103</f>
        <v>93872.965704000002</v>
      </c>
    </row>
    <row r="102" spans="1:20" s="33" customFormat="1" ht="31.5" x14ac:dyDescent="0.25">
      <c r="A102" s="34" t="s">
        <v>280</v>
      </c>
      <c r="B102" s="34"/>
      <c r="C102" s="34"/>
      <c r="D102" s="34"/>
      <c r="E102" s="43"/>
      <c r="F102" s="43">
        <f t="shared" ref="F102:G102" si="6">(IF(F10=0,0,F45*F10))*$E$93*$E$94*$E$95*$E$96</f>
        <v>0</v>
      </c>
      <c r="G102" s="43">
        <f t="shared" si="6"/>
        <v>0</v>
      </c>
      <c r="H102" s="43">
        <f>(IF(H10=0,0,H45*H10))*$E$93*$E$94*$E$95*$E$96</f>
        <v>0</v>
      </c>
      <c r="I102" s="43">
        <f t="shared" ref="I102:S102" si="7">(IF(I10=0,0,I45*I10))*$E$93*$E$94*$E$95*$E$96</f>
        <v>0</v>
      </c>
      <c r="J102" s="43">
        <f t="shared" si="7"/>
        <v>0</v>
      </c>
      <c r="K102" s="43">
        <f t="shared" si="7"/>
        <v>0</v>
      </c>
      <c r="L102" s="43">
        <f t="shared" si="7"/>
        <v>0</v>
      </c>
      <c r="M102" s="43">
        <f t="shared" si="7"/>
        <v>0</v>
      </c>
      <c r="N102" s="43">
        <f t="shared" si="7"/>
        <v>0</v>
      </c>
      <c r="O102" s="43">
        <f t="shared" si="7"/>
        <v>0</v>
      </c>
      <c r="P102" s="43">
        <f t="shared" si="7"/>
        <v>0</v>
      </c>
      <c r="Q102" s="43">
        <f t="shared" si="7"/>
        <v>0</v>
      </c>
      <c r="R102" s="43">
        <f t="shared" si="7"/>
        <v>0</v>
      </c>
      <c r="S102" s="43">
        <f t="shared" si="7"/>
        <v>0</v>
      </c>
      <c r="T102" s="36">
        <f>SUM(F102:S102)</f>
        <v>0</v>
      </c>
    </row>
    <row r="103" spans="1:20" s="33" customFormat="1" ht="34.5" customHeight="1" x14ac:dyDescent="0.25">
      <c r="A103" s="34" t="s">
        <v>281</v>
      </c>
      <c r="B103" s="34"/>
      <c r="C103" s="34"/>
      <c r="D103" s="34"/>
      <c r="E103" s="43"/>
      <c r="F103" s="43">
        <f t="shared" ref="F103:G103" si="8">(IF(F11=0,0,F45*F11))*$E$93*$E$94*$E$95*$E$96</f>
        <v>0</v>
      </c>
      <c r="G103" s="43">
        <f t="shared" si="8"/>
        <v>0</v>
      </c>
      <c r="H103" s="43">
        <f>(IF(H11=0,0,H45*H11))*$E$93*$E$94*$E$95*$E$96</f>
        <v>93872.965704000002</v>
      </c>
      <c r="I103" s="43">
        <f t="shared" ref="I103:S103" si="9">(IF(I11=0,0,I45*I11))*$E$93*$E$94*$E$95*$E$96</f>
        <v>0</v>
      </c>
      <c r="J103" s="43">
        <f t="shared" si="9"/>
        <v>0</v>
      </c>
      <c r="K103" s="43">
        <f t="shared" si="9"/>
        <v>0</v>
      </c>
      <c r="L103" s="43">
        <f t="shared" si="9"/>
        <v>0</v>
      </c>
      <c r="M103" s="43">
        <f t="shared" si="9"/>
        <v>0</v>
      </c>
      <c r="N103" s="43">
        <f t="shared" si="9"/>
        <v>0</v>
      </c>
      <c r="O103" s="43">
        <f t="shared" si="9"/>
        <v>0</v>
      </c>
      <c r="P103" s="43">
        <f t="shared" si="9"/>
        <v>0</v>
      </c>
      <c r="Q103" s="43">
        <f t="shared" si="9"/>
        <v>0</v>
      </c>
      <c r="R103" s="43">
        <f t="shared" si="9"/>
        <v>0</v>
      </c>
      <c r="S103" s="43">
        <f t="shared" si="9"/>
        <v>0</v>
      </c>
      <c r="T103" s="36">
        <f>SUM(F103:S103)</f>
        <v>93872.965704000002</v>
      </c>
    </row>
    <row r="104" spans="1:20" s="33" customFormat="1" ht="47.25" x14ac:dyDescent="0.25">
      <c r="A104" s="70" t="s">
        <v>279</v>
      </c>
      <c r="B104" s="70"/>
      <c r="C104" s="70"/>
      <c r="D104" s="70"/>
      <c r="E104" s="71">
        <f>SUM(F104:S104)</f>
        <v>192617.55450000003</v>
      </c>
      <c r="F104" s="71">
        <f>F105+F106</f>
        <v>0</v>
      </c>
      <c r="G104" s="71">
        <f t="shared" ref="G104:S104" si="10">G105+G106</f>
        <v>0</v>
      </c>
      <c r="H104" s="71">
        <f t="shared" si="10"/>
        <v>0</v>
      </c>
      <c r="I104" s="71">
        <f t="shared" si="10"/>
        <v>0</v>
      </c>
      <c r="J104" s="71">
        <f t="shared" si="10"/>
        <v>0</v>
      </c>
      <c r="K104" s="71">
        <f t="shared" si="10"/>
        <v>0</v>
      </c>
      <c r="L104" s="71">
        <f t="shared" si="10"/>
        <v>0</v>
      </c>
      <c r="M104" s="71">
        <f t="shared" si="10"/>
        <v>0</v>
      </c>
      <c r="N104" s="71">
        <f t="shared" si="10"/>
        <v>192617.55450000003</v>
      </c>
      <c r="O104" s="71">
        <f t="shared" si="10"/>
        <v>0</v>
      </c>
      <c r="P104" s="71">
        <f t="shared" si="10"/>
        <v>0</v>
      </c>
      <c r="Q104" s="71">
        <f t="shared" si="10"/>
        <v>0</v>
      </c>
      <c r="R104" s="71">
        <f t="shared" si="10"/>
        <v>0</v>
      </c>
      <c r="S104" s="71">
        <f t="shared" si="10"/>
        <v>0</v>
      </c>
      <c r="T104" s="36">
        <f>T105+T106</f>
        <v>192617.55450000003</v>
      </c>
    </row>
    <row r="105" spans="1:20" s="33" customFormat="1" ht="31.5" x14ac:dyDescent="0.25">
      <c r="A105" s="34" t="s">
        <v>282</v>
      </c>
      <c r="B105" s="34"/>
      <c r="C105" s="34"/>
      <c r="D105" s="34"/>
      <c r="E105" s="43"/>
      <c r="F105" s="43">
        <f t="shared" ref="F105:M105" si="11">(IF(F13=0,0,F46*F13))*$E$93*$E$94*$E$95*$E$96</f>
        <v>0</v>
      </c>
      <c r="G105" s="43">
        <f t="shared" si="11"/>
        <v>0</v>
      </c>
      <c r="H105" s="43">
        <f t="shared" si="11"/>
        <v>0</v>
      </c>
      <c r="I105" s="43">
        <f t="shared" si="11"/>
        <v>0</v>
      </c>
      <c r="J105" s="43">
        <f t="shared" si="11"/>
        <v>0</v>
      </c>
      <c r="K105" s="43">
        <f t="shared" si="11"/>
        <v>0</v>
      </c>
      <c r="L105" s="43">
        <f t="shared" si="11"/>
        <v>0</v>
      </c>
      <c r="M105" s="43">
        <f t="shared" si="11"/>
        <v>0</v>
      </c>
      <c r="N105" s="43">
        <f>(IF(N13=0,0,N46*N13))*$E$93*$E$94*$E$95*$E$96</f>
        <v>192617.55450000003</v>
      </c>
      <c r="O105" s="43">
        <f t="shared" ref="O105:S105" si="12">(IF(O13=0,0,O46*O13))*$E$93*$E$94*$E$95*$E$96</f>
        <v>0</v>
      </c>
      <c r="P105" s="43">
        <f t="shared" si="12"/>
        <v>0</v>
      </c>
      <c r="Q105" s="43">
        <f t="shared" si="12"/>
        <v>0</v>
      </c>
      <c r="R105" s="43">
        <f t="shared" si="12"/>
        <v>0</v>
      </c>
      <c r="S105" s="43">
        <f t="shared" si="12"/>
        <v>0</v>
      </c>
      <c r="T105" s="36">
        <f>SUM(F105:S105)</f>
        <v>192617.55450000003</v>
      </c>
    </row>
    <row r="106" spans="1:20" s="33" customFormat="1" ht="31.5" x14ac:dyDescent="0.25">
      <c r="A106" s="34" t="s">
        <v>283</v>
      </c>
      <c r="B106" s="34"/>
      <c r="C106" s="34"/>
      <c r="D106" s="34"/>
      <c r="E106" s="43"/>
      <c r="F106" s="43">
        <f t="shared" ref="F106:M106" si="13">(IF(F14=0,0,F46*F14))*$E$93*$E$94*$E$95*$E$96</f>
        <v>0</v>
      </c>
      <c r="G106" s="43">
        <f t="shared" si="13"/>
        <v>0</v>
      </c>
      <c r="H106" s="43">
        <f t="shared" si="13"/>
        <v>0</v>
      </c>
      <c r="I106" s="43">
        <f t="shared" si="13"/>
        <v>0</v>
      </c>
      <c r="J106" s="43">
        <f t="shared" si="13"/>
        <v>0</v>
      </c>
      <c r="K106" s="43">
        <f t="shared" si="13"/>
        <v>0</v>
      </c>
      <c r="L106" s="43">
        <f t="shared" si="13"/>
        <v>0</v>
      </c>
      <c r="M106" s="43">
        <f t="shared" si="13"/>
        <v>0</v>
      </c>
      <c r="N106" s="43">
        <f>(IF(N14=0,0,N46*N14))*$E$93*$E$94*$E$95*$E$96</f>
        <v>0</v>
      </c>
      <c r="O106" s="43">
        <f t="shared" ref="O106:S106" si="14">(IF(O14=0,0,O46*O14))*$E$93*$E$94*$E$95*$E$96</f>
        <v>0</v>
      </c>
      <c r="P106" s="43">
        <f t="shared" si="14"/>
        <v>0</v>
      </c>
      <c r="Q106" s="43">
        <f t="shared" si="14"/>
        <v>0</v>
      </c>
      <c r="R106" s="43">
        <f t="shared" si="14"/>
        <v>0</v>
      </c>
      <c r="S106" s="43">
        <f t="shared" si="14"/>
        <v>0</v>
      </c>
      <c r="T106" s="36">
        <f>SUM(F106:S106)</f>
        <v>0</v>
      </c>
    </row>
    <row r="107" spans="1:20" s="33" customFormat="1" ht="47.25" x14ac:dyDescent="0.25">
      <c r="A107" s="70" t="s">
        <v>284</v>
      </c>
      <c r="B107" s="70"/>
      <c r="C107" s="70"/>
      <c r="D107" s="70"/>
      <c r="E107" s="71">
        <f>SUM(F107:S107)</f>
        <v>5629.2828814814811</v>
      </c>
      <c r="F107" s="71">
        <f>F108+F109</f>
        <v>0</v>
      </c>
      <c r="G107" s="71">
        <f t="shared" ref="G107:S107" si="15">G108+G109</f>
        <v>0</v>
      </c>
      <c r="H107" s="71">
        <f t="shared" si="15"/>
        <v>5629.2828814814811</v>
      </c>
      <c r="I107" s="71">
        <f t="shared" si="15"/>
        <v>0</v>
      </c>
      <c r="J107" s="71">
        <f t="shared" si="15"/>
        <v>0</v>
      </c>
      <c r="K107" s="71">
        <f t="shared" si="15"/>
        <v>0</v>
      </c>
      <c r="L107" s="71">
        <f t="shared" si="15"/>
        <v>0</v>
      </c>
      <c r="M107" s="71">
        <f t="shared" si="15"/>
        <v>0</v>
      </c>
      <c r="N107" s="71">
        <f t="shared" si="15"/>
        <v>0</v>
      </c>
      <c r="O107" s="71">
        <f t="shared" si="15"/>
        <v>0</v>
      </c>
      <c r="P107" s="71">
        <f t="shared" si="15"/>
        <v>0</v>
      </c>
      <c r="Q107" s="71">
        <f t="shared" si="15"/>
        <v>0</v>
      </c>
      <c r="R107" s="71">
        <f t="shared" si="15"/>
        <v>0</v>
      </c>
      <c r="S107" s="71">
        <f t="shared" si="15"/>
        <v>0</v>
      </c>
      <c r="T107" s="36">
        <f>T108+T109</f>
        <v>5629.2828814814811</v>
      </c>
    </row>
    <row r="108" spans="1:20" s="33" customFormat="1" ht="31.5" x14ac:dyDescent="0.25">
      <c r="A108" s="34" t="s">
        <v>285</v>
      </c>
      <c r="B108" s="34"/>
      <c r="C108" s="34"/>
      <c r="D108" s="34"/>
      <c r="E108" s="43"/>
      <c r="F108" s="43">
        <f t="shared" ref="F108:G108" si="16">(IF(F16=0,0,IF(F47=0,((F52-(F50-F16)*(F52-F51)/(F50-F49))*F16),F47*F16)))*$E$93*$E$94*$E$95*$E$96</f>
        <v>0</v>
      </c>
      <c r="G108" s="43">
        <f t="shared" si="16"/>
        <v>0</v>
      </c>
      <c r="H108" s="43">
        <f>(IF(H16=0,0,IF(H47=0,((H52-(H50-H16)*(H52-H51)/(H50-H49))*H16),H47*H16)))*$E$93*$E$94*$E$95*$E$96</f>
        <v>5629.2828814814811</v>
      </c>
      <c r="I108" s="43">
        <f t="shared" ref="I108:S108" si="17">(IF(I16=0,0,IF(I47=0,((I52-(I50-I16)*(I52-I51)/(I50-I49))*I16),I47*I16)))*$E$93*$E$94*$E$95*$E$96</f>
        <v>0</v>
      </c>
      <c r="J108" s="43">
        <f t="shared" si="17"/>
        <v>0</v>
      </c>
      <c r="K108" s="43">
        <f t="shared" si="17"/>
        <v>0</v>
      </c>
      <c r="L108" s="43">
        <f t="shared" si="17"/>
        <v>0</v>
      </c>
      <c r="M108" s="43">
        <f t="shared" si="17"/>
        <v>0</v>
      </c>
      <c r="N108" s="43">
        <f t="shared" si="17"/>
        <v>0</v>
      </c>
      <c r="O108" s="43">
        <f t="shared" si="17"/>
        <v>0</v>
      </c>
      <c r="P108" s="43">
        <f t="shared" si="17"/>
        <v>0</v>
      </c>
      <c r="Q108" s="43">
        <f t="shared" si="17"/>
        <v>0</v>
      </c>
      <c r="R108" s="43">
        <f t="shared" si="17"/>
        <v>0</v>
      </c>
      <c r="S108" s="43">
        <f t="shared" si="17"/>
        <v>0</v>
      </c>
      <c r="T108" s="36">
        <f>SUM(F108:S108)</f>
        <v>5629.2828814814811</v>
      </c>
    </row>
    <row r="109" spans="1:20" s="33" customFormat="1" ht="31.5" x14ac:dyDescent="0.25">
      <c r="A109" s="34" t="s">
        <v>286</v>
      </c>
      <c r="B109" s="13"/>
      <c r="C109" s="13"/>
      <c r="D109" s="13"/>
      <c r="E109" s="69"/>
      <c r="F109" s="43">
        <f>IF(F17=0,0,(F60*F17)/2)*$E$93*$E$94*$E$95*$E$96</f>
        <v>0</v>
      </c>
      <c r="G109" s="43">
        <f>IF(G17=0,0,(G60*G17)/2)*$E$93*$E$94*$E$95*$E$96</f>
        <v>0</v>
      </c>
      <c r="H109" s="43">
        <f>(IF(H17=0,0,IF(H47=0,((H52-(H50-H17)*(H52-H51)/(H50-H49))*H17),H47*H17)))*$E$93*$E$94*$E$95*$E$96</f>
        <v>0</v>
      </c>
      <c r="I109" s="43">
        <f t="shared" ref="I109:S109" si="18">IF(I17=0,0,(I60*I17)/2)*$E$93*$E$94*$E$95*$E$96</f>
        <v>0</v>
      </c>
      <c r="J109" s="43">
        <f t="shared" si="18"/>
        <v>0</v>
      </c>
      <c r="K109" s="43">
        <f t="shared" si="18"/>
        <v>0</v>
      </c>
      <c r="L109" s="43">
        <f t="shared" si="18"/>
        <v>0</v>
      </c>
      <c r="M109" s="43">
        <f t="shared" si="18"/>
        <v>0</v>
      </c>
      <c r="N109" s="43">
        <f t="shared" si="18"/>
        <v>0</v>
      </c>
      <c r="O109" s="43">
        <f t="shared" si="18"/>
        <v>0</v>
      </c>
      <c r="P109" s="43">
        <f t="shared" si="18"/>
        <v>0</v>
      </c>
      <c r="Q109" s="43">
        <f t="shared" si="18"/>
        <v>0</v>
      </c>
      <c r="R109" s="43">
        <f t="shared" si="18"/>
        <v>0</v>
      </c>
      <c r="S109" s="43">
        <f t="shared" si="18"/>
        <v>0</v>
      </c>
      <c r="T109" s="36">
        <f>SUM(F109:S109)</f>
        <v>0</v>
      </c>
    </row>
    <row r="110" spans="1:20" s="33" customFormat="1" ht="47.25" x14ac:dyDescent="0.25">
      <c r="A110" s="61" t="s">
        <v>291</v>
      </c>
      <c r="B110" s="61"/>
      <c r="C110" s="61"/>
      <c r="D110" s="61"/>
      <c r="E110" s="72">
        <f>SUM(F110:S110)</f>
        <v>136057.60500000004</v>
      </c>
      <c r="F110" s="88">
        <f t="shared" ref="F110:S110" si="19">F111+F112</f>
        <v>0</v>
      </c>
      <c r="G110" s="88">
        <f t="shared" si="19"/>
        <v>0</v>
      </c>
      <c r="H110" s="88">
        <f t="shared" si="19"/>
        <v>0</v>
      </c>
      <c r="I110" s="88">
        <f t="shared" si="19"/>
        <v>0</v>
      </c>
      <c r="J110" s="88">
        <f t="shared" si="19"/>
        <v>0</v>
      </c>
      <c r="K110" s="88">
        <f t="shared" si="19"/>
        <v>75444.576000000015</v>
      </c>
      <c r="L110" s="88">
        <f t="shared" si="19"/>
        <v>0</v>
      </c>
      <c r="M110" s="88">
        <f t="shared" si="19"/>
        <v>0</v>
      </c>
      <c r="N110" s="88">
        <f t="shared" si="19"/>
        <v>0</v>
      </c>
      <c r="O110" s="88">
        <f t="shared" si="19"/>
        <v>0</v>
      </c>
      <c r="P110" s="88">
        <f t="shared" si="19"/>
        <v>60613.02900000001</v>
      </c>
      <c r="Q110" s="88">
        <f t="shared" si="19"/>
        <v>0</v>
      </c>
      <c r="R110" s="88">
        <f t="shared" si="19"/>
        <v>0</v>
      </c>
      <c r="S110" s="88">
        <f t="shared" si="19"/>
        <v>0</v>
      </c>
      <c r="T110" s="36">
        <f>T111+T112</f>
        <v>136057.60500000004</v>
      </c>
    </row>
    <row r="111" spans="1:20" s="87" customFormat="1" ht="31.5" x14ac:dyDescent="0.25">
      <c r="A111" s="67" t="s">
        <v>287</v>
      </c>
      <c r="B111" s="67"/>
      <c r="C111" s="67"/>
      <c r="D111" s="67"/>
      <c r="E111" s="85"/>
      <c r="F111" s="86">
        <f t="shared" ref="F111:J111" si="20">(IF(F19=0,0,IF(F53=0,((F58-(F56-F19)*(F58-F57)/(F56-F55))*F19),F53*F19)))*$E$93*$E$94*$E$95*$E$96</f>
        <v>0</v>
      </c>
      <c r="G111" s="86">
        <f t="shared" si="20"/>
        <v>0</v>
      </c>
      <c r="H111" s="86">
        <f t="shared" si="20"/>
        <v>0</v>
      </c>
      <c r="I111" s="86">
        <f t="shared" si="20"/>
        <v>0</v>
      </c>
      <c r="J111" s="86">
        <f t="shared" si="20"/>
        <v>0</v>
      </c>
      <c r="K111" s="86">
        <f>(IF(K19=0,0,IF(K53=0,((K58-(K56-K19)*(K58-K57)/(K56-K55))*K19),K53*K19)))*$E$93*$E$94*$E$95*$E$96</f>
        <v>75444.576000000015</v>
      </c>
      <c r="L111" s="86">
        <f t="shared" ref="L111:S111" si="21">(IF(L19=0,0,IF(L53=0,((L58-(L56-L19)*(L58-L57)/(L56-L55))*L19),L53*L19)))*$E$93*$E$94*$E$95*$E$96</f>
        <v>0</v>
      </c>
      <c r="M111" s="86">
        <f t="shared" si="21"/>
        <v>0</v>
      </c>
      <c r="N111" s="86">
        <f t="shared" si="21"/>
        <v>0</v>
      </c>
      <c r="O111" s="86">
        <f t="shared" si="21"/>
        <v>0</v>
      </c>
      <c r="P111" s="86">
        <f t="shared" si="21"/>
        <v>0</v>
      </c>
      <c r="Q111" s="86">
        <f t="shared" si="21"/>
        <v>0</v>
      </c>
      <c r="R111" s="86">
        <f t="shared" si="21"/>
        <v>0</v>
      </c>
      <c r="S111" s="86">
        <f t="shared" si="21"/>
        <v>0</v>
      </c>
      <c r="T111" s="36">
        <f>SUM(F111:S111)</f>
        <v>75444.576000000015</v>
      </c>
    </row>
    <row r="112" spans="1:20" s="87" customFormat="1" ht="31.5" x14ac:dyDescent="0.25">
      <c r="A112" s="67" t="s">
        <v>288</v>
      </c>
      <c r="B112" s="67"/>
      <c r="C112" s="67"/>
      <c r="D112" s="67"/>
      <c r="E112" s="85"/>
      <c r="F112" s="86">
        <f t="shared" ref="F112:J112" si="22">(IF(F20=0,0,IF(F53=0,((F58-(F56-F20)*(F58-F57)/(F56-F55))*F20),F53*F20)))*$E$93*$E$94*$E$95*$E$96</f>
        <v>0</v>
      </c>
      <c r="G112" s="86">
        <f t="shared" si="22"/>
        <v>0</v>
      </c>
      <c r="H112" s="86">
        <f t="shared" si="22"/>
        <v>0</v>
      </c>
      <c r="I112" s="86">
        <f t="shared" si="22"/>
        <v>0</v>
      </c>
      <c r="J112" s="86">
        <f t="shared" si="22"/>
        <v>0</v>
      </c>
      <c r="K112" s="86">
        <f>(IF(K20=0,0,IF(K53=0,((K58-(K56-K20)*(K58-K57)/(K56-K55))*K20),K53*K20)))*$E$93*$E$94*$E$95*$E$96</f>
        <v>0</v>
      </c>
      <c r="L112" s="86">
        <f t="shared" ref="L112:S112" si="23">(IF(L20=0,0,IF(L53=0,((L58-(L56-L20)*(L58-L57)/(L56-L55))*L20),L53*L20)))*$E$93*$E$94*$E$95*$E$96</f>
        <v>0</v>
      </c>
      <c r="M112" s="86">
        <f t="shared" si="23"/>
        <v>0</v>
      </c>
      <c r="N112" s="86">
        <f t="shared" si="23"/>
        <v>0</v>
      </c>
      <c r="O112" s="86">
        <f t="shared" si="23"/>
        <v>0</v>
      </c>
      <c r="P112" s="86">
        <f t="shared" si="23"/>
        <v>60613.02900000001</v>
      </c>
      <c r="Q112" s="86">
        <f t="shared" si="23"/>
        <v>0</v>
      </c>
      <c r="R112" s="86">
        <f t="shared" si="23"/>
        <v>0</v>
      </c>
      <c r="S112" s="86">
        <f t="shared" si="23"/>
        <v>0</v>
      </c>
      <c r="T112" s="36">
        <f>SUM(F112:S112)</f>
        <v>60613.02900000001</v>
      </c>
    </row>
    <row r="113" spans="1:20" s="87" customFormat="1" ht="63" x14ac:dyDescent="0.25">
      <c r="A113" s="89" t="s">
        <v>292</v>
      </c>
      <c r="B113" s="89"/>
      <c r="C113" s="89"/>
      <c r="D113" s="89"/>
      <c r="E113" s="90">
        <f>SUM(F113:S113)</f>
        <v>3549156.7882645815</v>
      </c>
      <c r="F113" s="88">
        <f t="shared" ref="F113:R113" si="24">F114+F117+F120+F123+F126+F129+F132</f>
        <v>0</v>
      </c>
      <c r="G113" s="88">
        <f t="shared" si="24"/>
        <v>0</v>
      </c>
      <c r="H113" s="88">
        <f t="shared" si="24"/>
        <v>0</v>
      </c>
      <c r="I113" s="88">
        <f t="shared" si="24"/>
        <v>0</v>
      </c>
      <c r="J113" s="88">
        <f t="shared" si="24"/>
        <v>16845.406200000001</v>
      </c>
      <c r="K113" s="88">
        <f t="shared" si="24"/>
        <v>1540419.4120408164</v>
      </c>
      <c r="L113" s="88">
        <f t="shared" si="24"/>
        <v>0</v>
      </c>
      <c r="M113" s="88">
        <f t="shared" si="24"/>
        <v>0</v>
      </c>
      <c r="N113" s="88">
        <f t="shared" si="24"/>
        <v>181981.81478048782</v>
      </c>
      <c r="O113" s="88">
        <f t="shared" si="24"/>
        <v>153774.86487804877</v>
      </c>
      <c r="P113" s="88">
        <f t="shared" si="24"/>
        <v>1417277.1820408164</v>
      </c>
      <c r="Q113" s="88">
        <f t="shared" si="24"/>
        <v>238858.10832441176</v>
      </c>
      <c r="R113" s="88">
        <f t="shared" si="24"/>
        <v>0</v>
      </c>
      <c r="S113" s="88">
        <f>S114+S117+S120+S123+S126+S129+S132</f>
        <v>0</v>
      </c>
      <c r="T113" s="36">
        <f>T114+T117+T120+T123+T126+T129+T132</f>
        <v>3549156.7882645815</v>
      </c>
    </row>
    <row r="114" spans="1:20" s="33" customFormat="1" ht="47.25" x14ac:dyDescent="0.25">
      <c r="A114" s="61" t="s">
        <v>294</v>
      </c>
      <c r="B114" s="61"/>
      <c r="C114" s="61"/>
      <c r="D114" s="61"/>
      <c r="E114" s="72">
        <f>SUM(F114:S114)</f>
        <v>527510.88</v>
      </c>
      <c r="F114" s="72">
        <f>F115+F116</f>
        <v>0</v>
      </c>
      <c r="G114" s="72">
        <f t="shared" ref="G114:S114" si="25">G115+G116</f>
        <v>0</v>
      </c>
      <c r="H114" s="72">
        <f t="shared" si="25"/>
        <v>0</v>
      </c>
      <c r="I114" s="72">
        <f t="shared" si="25"/>
        <v>0</v>
      </c>
      <c r="J114" s="72">
        <f t="shared" si="25"/>
        <v>0</v>
      </c>
      <c r="K114" s="72">
        <f t="shared" si="25"/>
        <v>527510.88</v>
      </c>
      <c r="L114" s="72">
        <f t="shared" si="25"/>
        <v>0</v>
      </c>
      <c r="M114" s="72">
        <f t="shared" si="25"/>
        <v>0</v>
      </c>
      <c r="N114" s="72">
        <f t="shared" si="25"/>
        <v>0</v>
      </c>
      <c r="O114" s="72">
        <f t="shared" si="25"/>
        <v>0</v>
      </c>
      <c r="P114" s="72">
        <f t="shared" si="25"/>
        <v>0</v>
      </c>
      <c r="Q114" s="72">
        <f t="shared" si="25"/>
        <v>0</v>
      </c>
      <c r="R114" s="72">
        <f t="shared" si="25"/>
        <v>0</v>
      </c>
      <c r="S114" s="72">
        <f t="shared" si="25"/>
        <v>0</v>
      </c>
      <c r="T114" s="36">
        <f>T115+T116</f>
        <v>527510.88</v>
      </c>
    </row>
    <row r="115" spans="1:20" s="33" customFormat="1" ht="31.5" x14ac:dyDescent="0.25">
      <c r="A115" s="13" t="s">
        <v>295</v>
      </c>
      <c r="B115" s="13"/>
      <c r="C115" s="13"/>
      <c r="D115" s="13"/>
      <c r="E115" s="69"/>
      <c r="F115" s="43">
        <f t="shared" ref="F115:J115" si="26">(IF(F23=0,0,IF(F60=0,((F65-(F63-F62)*(F65-F64)/(F63-F62))*F23),F60*F23)))*$E$93*$E$94*$E$95*$E$96</f>
        <v>0</v>
      </c>
      <c r="G115" s="43">
        <f t="shared" si="26"/>
        <v>0</v>
      </c>
      <c r="H115" s="43">
        <f t="shared" si="26"/>
        <v>0</v>
      </c>
      <c r="I115" s="43">
        <f t="shared" si="26"/>
        <v>0</v>
      </c>
      <c r="J115" s="43">
        <f t="shared" si="26"/>
        <v>0</v>
      </c>
      <c r="K115" s="43">
        <f>(IF(K23=0,0,IF(K60=0,((K65-(K63-K62)*(K65-K64)/(K63-K62))*K23),K60*K23)))*$E$93*$E$94*$E$95*$E$96</f>
        <v>527510.88</v>
      </c>
      <c r="L115" s="43">
        <f t="shared" ref="L115:S115" si="27">(IF(L23=0,0,IF(L60=0,((L65-(L63-L62)*(L65-L64)/(L63-L62))*L23),L60*L23)))*$E$93*$E$94*$E$95*$E$96</f>
        <v>0</v>
      </c>
      <c r="M115" s="43">
        <f t="shared" si="27"/>
        <v>0</v>
      </c>
      <c r="N115" s="43">
        <f t="shared" si="27"/>
        <v>0</v>
      </c>
      <c r="O115" s="43">
        <f t="shared" si="27"/>
        <v>0</v>
      </c>
      <c r="P115" s="43">
        <f t="shared" si="27"/>
        <v>0</v>
      </c>
      <c r="Q115" s="43">
        <f t="shared" si="27"/>
        <v>0</v>
      </c>
      <c r="R115" s="43">
        <f t="shared" si="27"/>
        <v>0</v>
      </c>
      <c r="S115" s="43">
        <f t="shared" si="27"/>
        <v>0</v>
      </c>
      <c r="T115" s="36">
        <f>SUM(F115:S115)</f>
        <v>527510.88</v>
      </c>
    </row>
    <row r="116" spans="1:20" s="33" customFormat="1" ht="31.5" x14ac:dyDescent="0.25">
      <c r="A116" s="13" t="s">
        <v>296</v>
      </c>
      <c r="B116" s="13"/>
      <c r="C116" s="13"/>
      <c r="D116" s="13"/>
      <c r="E116" s="69"/>
      <c r="F116" s="43">
        <f t="shared" ref="F116:J116" si="28">(IF(F24=0,0,IF(F60=0,((F65-(F63-F62)*(F65-F64)/(F63-F62))*F23),F60*F24)))*$E$93*$E$94*$E$95*$E$96</f>
        <v>0</v>
      </c>
      <c r="G116" s="43">
        <f t="shared" si="28"/>
        <v>0</v>
      </c>
      <c r="H116" s="43">
        <f t="shared" si="28"/>
        <v>0</v>
      </c>
      <c r="I116" s="43">
        <f t="shared" si="28"/>
        <v>0</v>
      </c>
      <c r="J116" s="43">
        <f t="shared" si="28"/>
        <v>0</v>
      </c>
      <c r="K116" s="43">
        <f>(IF(K24=0,0,IF(K60=0,((K65-(K63-K62)*(K65-K64)/(K63-K62))*K23),K60*K24)))*$E$93*$E$94*$E$95*$E$96</f>
        <v>0</v>
      </c>
      <c r="L116" s="43">
        <f t="shared" ref="L116:S116" si="29">(IF(L24=0,0,IF(L60=0,((L65-(L63-L62)*(L65-L64)/(L63-L62))*L23),L60*L24)))*$E$93*$E$94*$E$95*$E$96</f>
        <v>0</v>
      </c>
      <c r="M116" s="43">
        <f t="shared" si="29"/>
        <v>0</v>
      </c>
      <c r="N116" s="43">
        <f t="shared" si="29"/>
        <v>0</v>
      </c>
      <c r="O116" s="43">
        <f t="shared" si="29"/>
        <v>0</v>
      </c>
      <c r="P116" s="43">
        <f t="shared" si="29"/>
        <v>0</v>
      </c>
      <c r="Q116" s="43">
        <f t="shared" si="29"/>
        <v>0</v>
      </c>
      <c r="R116" s="43">
        <f t="shared" si="29"/>
        <v>0</v>
      </c>
      <c r="S116" s="43">
        <f t="shared" si="29"/>
        <v>0</v>
      </c>
      <c r="T116" s="36">
        <f>SUM(F116:S116)</f>
        <v>0</v>
      </c>
    </row>
    <row r="117" spans="1:20" s="33" customFormat="1" ht="47.25" x14ac:dyDescent="0.25">
      <c r="A117" s="89" t="s">
        <v>335</v>
      </c>
      <c r="B117" s="89"/>
      <c r="C117" s="89"/>
      <c r="D117" s="89"/>
      <c r="E117" s="90">
        <f>SUM(F117:S117)</f>
        <v>153774.86487804877</v>
      </c>
      <c r="F117" s="88">
        <f t="shared" ref="F117:S117" si="30">F118+F119</f>
        <v>0</v>
      </c>
      <c r="G117" s="88">
        <f t="shared" si="30"/>
        <v>0</v>
      </c>
      <c r="H117" s="88">
        <f t="shared" si="30"/>
        <v>0</v>
      </c>
      <c r="I117" s="88">
        <f t="shared" si="30"/>
        <v>0</v>
      </c>
      <c r="J117" s="88">
        <f t="shared" si="30"/>
        <v>0</v>
      </c>
      <c r="K117" s="88">
        <f t="shared" si="30"/>
        <v>0</v>
      </c>
      <c r="L117" s="88">
        <f t="shared" si="30"/>
        <v>0</v>
      </c>
      <c r="M117" s="88">
        <f t="shared" si="30"/>
        <v>0</v>
      </c>
      <c r="N117" s="88">
        <f t="shared" si="30"/>
        <v>0</v>
      </c>
      <c r="O117" s="88">
        <f t="shared" si="30"/>
        <v>153774.86487804877</v>
      </c>
      <c r="P117" s="88">
        <f t="shared" si="30"/>
        <v>0</v>
      </c>
      <c r="Q117" s="88">
        <f t="shared" si="30"/>
        <v>0</v>
      </c>
      <c r="R117" s="88">
        <f t="shared" si="30"/>
        <v>0</v>
      </c>
      <c r="S117" s="88">
        <f t="shared" si="30"/>
        <v>0</v>
      </c>
      <c r="T117" s="36">
        <f>T118+T119</f>
        <v>153774.86487804877</v>
      </c>
    </row>
    <row r="118" spans="1:20" s="33" customFormat="1" ht="31.5" x14ac:dyDescent="0.25">
      <c r="A118" s="13" t="s">
        <v>336</v>
      </c>
      <c r="B118" s="13"/>
      <c r="C118" s="13"/>
      <c r="D118" s="13"/>
      <c r="E118" s="69"/>
      <c r="F118" s="43">
        <f t="shared" ref="F118:M118" si="31">(IF(F26=0,0,IF(F66=0,((F71-(F69-F26)*(F71-F70)/(F69-F68))*F26),F66*F26)))*$E$93*$E$94*$E$95*$E$96</f>
        <v>0</v>
      </c>
      <c r="G118" s="43">
        <f t="shared" si="31"/>
        <v>0</v>
      </c>
      <c r="H118" s="43">
        <f t="shared" si="31"/>
        <v>0</v>
      </c>
      <c r="I118" s="43">
        <f t="shared" si="31"/>
        <v>0</v>
      </c>
      <c r="J118" s="43">
        <f t="shared" si="31"/>
        <v>0</v>
      </c>
      <c r="K118" s="43">
        <f t="shared" si="31"/>
        <v>0</v>
      </c>
      <c r="L118" s="43">
        <f t="shared" si="31"/>
        <v>0</v>
      </c>
      <c r="M118" s="43">
        <f t="shared" si="31"/>
        <v>0</v>
      </c>
      <c r="N118" s="43">
        <f>(IF(N26=0,0,IF(N66=0,((N71-(N69-N26)*(N71-N70)/(N69-N68))*N26),N66*N26)))*$E$93*$E$94*$E$95*$E$96</f>
        <v>0</v>
      </c>
      <c r="O118" s="43">
        <f t="shared" ref="O118:S118" si="32">(IF(O26=0,0,IF(O66=0,((O71-(O69-O26)*(O71-O70)/(O69-O68))*O26),O66*O26)))*$E$93*$E$94*$E$95*$E$96</f>
        <v>153774.86487804877</v>
      </c>
      <c r="P118" s="43">
        <f t="shared" si="32"/>
        <v>0</v>
      </c>
      <c r="Q118" s="43">
        <f t="shared" si="32"/>
        <v>0</v>
      </c>
      <c r="R118" s="43">
        <f t="shared" si="32"/>
        <v>0</v>
      </c>
      <c r="S118" s="43">
        <f t="shared" si="32"/>
        <v>0</v>
      </c>
      <c r="T118" s="36">
        <f>SUM(F118:S118)</f>
        <v>153774.86487804877</v>
      </c>
    </row>
    <row r="119" spans="1:20" s="33" customFormat="1" ht="47.25" x14ac:dyDescent="0.25">
      <c r="A119" s="13" t="s">
        <v>337</v>
      </c>
      <c r="B119" s="13"/>
      <c r="C119" s="13"/>
      <c r="D119" s="13"/>
      <c r="E119" s="69"/>
      <c r="F119" s="43">
        <f t="shared" ref="F119:N119" si="33">(IF(F27=0,0,IF(F66=0,((F71-(F69-F27)*(F71-F70)/(F69-F68))*F27),F66*F27)))*$E$93*$E$94*$E$95*$E$96</f>
        <v>0</v>
      </c>
      <c r="G119" s="43">
        <f t="shared" si="33"/>
        <v>0</v>
      </c>
      <c r="H119" s="43">
        <f t="shared" si="33"/>
        <v>0</v>
      </c>
      <c r="I119" s="43">
        <f t="shared" si="33"/>
        <v>0</v>
      </c>
      <c r="J119" s="43">
        <f t="shared" si="33"/>
        <v>0</v>
      </c>
      <c r="K119" s="43">
        <f t="shared" si="33"/>
        <v>0</v>
      </c>
      <c r="L119" s="43">
        <f t="shared" si="33"/>
        <v>0</v>
      </c>
      <c r="M119" s="43">
        <f t="shared" si="33"/>
        <v>0</v>
      </c>
      <c r="N119" s="43">
        <f t="shared" si="33"/>
        <v>0</v>
      </c>
      <c r="O119" s="43">
        <f>(IF(O27=0,0,IF(O66=0,((O71-(O69-O27)*(O71-O70)/(O69-O68))*O27),O66*O27)))*$E$93*$E$94*$E$95*$E$96</f>
        <v>0</v>
      </c>
      <c r="P119" s="43">
        <f t="shared" ref="P119:S119" si="34">(IF(P27=0,0,IF(P66=0,((P71-(P69-P27)*(P71-P70)/(P69-P68))*P27),P66*P27)))*$E$93*$E$94*$E$95*$E$96</f>
        <v>0</v>
      </c>
      <c r="Q119" s="43">
        <f t="shared" si="34"/>
        <v>0</v>
      </c>
      <c r="R119" s="43">
        <f t="shared" si="34"/>
        <v>0</v>
      </c>
      <c r="S119" s="43">
        <f t="shared" si="34"/>
        <v>0</v>
      </c>
      <c r="T119" s="36">
        <f>SUM(F119:S119)</f>
        <v>0</v>
      </c>
    </row>
    <row r="120" spans="1:20" s="33" customFormat="1" ht="47.25" x14ac:dyDescent="0.25">
      <c r="A120" s="89" t="s">
        <v>340</v>
      </c>
      <c r="B120" s="89"/>
      <c r="C120" s="89"/>
      <c r="D120" s="89"/>
      <c r="E120" s="90">
        <f>SUM(F120:S120)</f>
        <v>404368.65</v>
      </c>
      <c r="F120" s="88">
        <f t="shared" ref="F120:S120" si="35">F121+F122</f>
        <v>0</v>
      </c>
      <c r="G120" s="88">
        <f t="shared" si="35"/>
        <v>0</v>
      </c>
      <c r="H120" s="88">
        <f t="shared" si="35"/>
        <v>0</v>
      </c>
      <c r="I120" s="88">
        <f t="shared" si="35"/>
        <v>0</v>
      </c>
      <c r="J120" s="88">
        <f t="shared" si="35"/>
        <v>0</v>
      </c>
      <c r="K120" s="88">
        <f t="shared" si="35"/>
        <v>0</v>
      </c>
      <c r="L120" s="88">
        <f t="shared" si="35"/>
        <v>0</v>
      </c>
      <c r="M120" s="88">
        <f t="shared" si="35"/>
        <v>0</v>
      </c>
      <c r="N120" s="88">
        <f t="shared" si="35"/>
        <v>0</v>
      </c>
      <c r="O120" s="88">
        <f t="shared" si="35"/>
        <v>0</v>
      </c>
      <c r="P120" s="88">
        <f t="shared" si="35"/>
        <v>404368.65</v>
      </c>
      <c r="Q120" s="88">
        <f t="shared" si="35"/>
        <v>0</v>
      </c>
      <c r="R120" s="88">
        <f t="shared" si="35"/>
        <v>0</v>
      </c>
      <c r="S120" s="88">
        <f t="shared" si="35"/>
        <v>0</v>
      </c>
      <c r="T120" s="36">
        <f>T121+T122</f>
        <v>404368.65</v>
      </c>
    </row>
    <row r="121" spans="1:20" s="33" customFormat="1" ht="31.5" x14ac:dyDescent="0.25">
      <c r="A121" s="13" t="s">
        <v>297</v>
      </c>
      <c r="B121" s="13"/>
      <c r="C121" s="13"/>
      <c r="D121" s="13"/>
      <c r="E121" s="69"/>
      <c r="F121" s="43">
        <f t="shared" ref="F121:O121" si="36">(IF(F29=0,0,F72*F29))*$E$93*$E$94*$E$95*$E$96</f>
        <v>0</v>
      </c>
      <c r="G121" s="43">
        <f t="shared" si="36"/>
        <v>0</v>
      </c>
      <c r="H121" s="43">
        <f t="shared" si="36"/>
        <v>0</v>
      </c>
      <c r="I121" s="43">
        <f t="shared" si="36"/>
        <v>0</v>
      </c>
      <c r="J121" s="43">
        <f t="shared" si="36"/>
        <v>0</v>
      </c>
      <c r="K121" s="43">
        <f t="shared" si="36"/>
        <v>0</v>
      </c>
      <c r="L121" s="43">
        <f t="shared" si="36"/>
        <v>0</v>
      </c>
      <c r="M121" s="43">
        <f t="shared" si="36"/>
        <v>0</v>
      </c>
      <c r="N121" s="43">
        <f t="shared" si="36"/>
        <v>0</v>
      </c>
      <c r="O121" s="43">
        <f t="shared" si="36"/>
        <v>0</v>
      </c>
      <c r="P121" s="43">
        <f>(IF(P29=0,0,P72*P29))*$E$93*$E$94*$E$95*$E$96</f>
        <v>404368.65</v>
      </c>
      <c r="Q121" s="43">
        <f t="shared" ref="Q121:S121" si="37">(IF(Q29=0,0,Q72*Q29))*$E$93*$E$94*$E$95*$E$96</f>
        <v>0</v>
      </c>
      <c r="R121" s="43">
        <f t="shared" si="37"/>
        <v>0</v>
      </c>
      <c r="S121" s="43">
        <f t="shared" si="37"/>
        <v>0</v>
      </c>
      <c r="T121" s="36">
        <f>SUM(F121:S121)</f>
        <v>404368.65</v>
      </c>
    </row>
    <row r="122" spans="1:20" s="33" customFormat="1" ht="47.25" x14ac:dyDescent="0.25">
      <c r="A122" s="13" t="s">
        <v>298</v>
      </c>
      <c r="B122" s="13"/>
      <c r="C122" s="13"/>
      <c r="D122" s="13"/>
      <c r="E122" s="69"/>
      <c r="F122" s="43">
        <f t="shared" ref="F122:O122" si="38">(IF(F30=0,0,F72*F30))*$E$93*$E$94*$E$95*$E$96</f>
        <v>0</v>
      </c>
      <c r="G122" s="43">
        <f t="shared" si="38"/>
        <v>0</v>
      </c>
      <c r="H122" s="43">
        <f t="shared" si="38"/>
        <v>0</v>
      </c>
      <c r="I122" s="43">
        <f t="shared" si="38"/>
        <v>0</v>
      </c>
      <c r="J122" s="43">
        <f t="shared" si="38"/>
        <v>0</v>
      </c>
      <c r="K122" s="43">
        <f t="shared" si="38"/>
        <v>0</v>
      </c>
      <c r="L122" s="43">
        <f t="shared" si="38"/>
        <v>0</v>
      </c>
      <c r="M122" s="43">
        <f t="shared" si="38"/>
        <v>0</v>
      </c>
      <c r="N122" s="43">
        <f t="shared" si="38"/>
        <v>0</v>
      </c>
      <c r="O122" s="43">
        <f t="shared" si="38"/>
        <v>0</v>
      </c>
      <c r="P122" s="43">
        <f>(IF(P30=0,0,P72*P30))*$E$93*$E$94*$E$95*$E$96</f>
        <v>0</v>
      </c>
      <c r="Q122" s="43">
        <f t="shared" ref="Q122:S122" si="39">(IF(Q30=0,0,Q72*Q30))*$E$93*$E$94*$E$95*$E$96</f>
        <v>0</v>
      </c>
      <c r="R122" s="43">
        <f t="shared" si="39"/>
        <v>0</v>
      </c>
      <c r="S122" s="43">
        <f t="shared" si="39"/>
        <v>0</v>
      </c>
      <c r="T122" s="36">
        <f>SUM(F122:S122)</f>
        <v>0</v>
      </c>
    </row>
    <row r="123" spans="1:20" s="33" customFormat="1" ht="63" x14ac:dyDescent="0.25">
      <c r="A123" s="89" t="s">
        <v>299</v>
      </c>
      <c r="B123" s="89"/>
      <c r="C123" s="89"/>
      <c r="D123" s="89"/>
      <c r="E123" s="91">
        <f>SUM(F123:S123)</f>
        <v>181981.81478048782</v>
      </c>
      <c r="F123" s="88">
        <f t="shared" ref="F123:S123" si="40">F124+F125</f>
        <v>0</v>
      </c>
      <c r="G123" s="88">
        <f t="shared" si="40"/>
        <v>0</v>
      </c>
      <c r="H123" s="88">
        <f t="shared" si="40"/>
        <v>0</v>
      </c>
      <c r="I123" s="88">
        <f t="shared" si="40"/>
        <v>0</v>
      </c>
      <c r="J123" s="88">
        <f t="shared" si="40"/>
        <v>0</v>
      </c>
      <c r="K123" s="88">
        <f t="shared" si="40"/>
        <v>0</v>
      </c>
      <c r="L123" s="88">
        <f t="shared" si="40"/>
        <v>0</v>
      </c>
      <c r="M123" s="88">
        <f t="shared" si="40"/>
        <v>0</v>
      </c>
      <c r="N123" s="88">
        <f t="shared" si="40"/>
        <v>181981.81478048782</v>
      </c>
      <c r="O123" s="88">
        <f t="shared" si="40"/>
        <v>0</v>
      </c>
      <c r="P123" s="88">
        <f t="shared" si="40"/>
        <v>0</v>
      </c>
      <c r="Q123" s="88">
        <f t="shared" si="40"/>
        <v>0</v>
      </c>
      <c r="R123" s="88">
        <f t="shared" si="40"/>
        <v>0</v>
      </c>
      <c r="S123" s="88">
        <f t="shared" si="40"/>
        <v>0</v>
      </c>
      <c r="T123" s="36">
        <f>T124+T125</f>
        <v>181981.81478048782</v>
      </c>
    </row>
    <row r="124" spans="1:20" s="33" customFormat="1" ht="31.5" x14ac:dyDescent="0.25">
      <c r="A124" s="13" t="s">
        <v>300</v>
      </c>
      <c r="B124" s="13"/>
      <c r="C124" s="13"/>
      <c r="D124" s="13"/>
      <c r="E124" s="69"/>
      <c r="F124" s="43">
        <f t="shared" ref="F124:M124" si="41">(IF(F32=0,0,IF(F73=0,((F78-(F76-F32)*(F78-F77)/(F76-F75))*F32),F73*F32)))*$E$93*$E$94*$E$95*$E$96</f>
        <v>0</v>
      </c>
      <c r="G124" s="43">
        <f t="shared" si="41"/>
        <v>0</v>
      </c>
      <c r="H124" s="43">
        <f t="shared" si="41"/>
        <v>0</v>
      </c>
      <c r="I124" s="43">
        <f t="shared" si="41"/>
        <v>0</v>
      </c>
      <c r="J124" s="43">
        <f t="shared" si="41"/>
        <v>0</v>
      </c>
      <c r="K124" s="43">
        <f t="shared" si="41"/>
        <v>0</v>
      </c>
      <c r="L124" s="43">
        <f t="shared" si="41"/>
        <v>0</v>
      </c>
      <c r="M124" s="43">
        <f t="shared" si="41"/>
        <v>0</v>
      </c>
      <c r="N124" s="43">
        <f>(IF(N32=0,0,IF(N73=0,((N78-(N76-N32)*(N78-N77)/(N76-N75))*N32),N73*N32)))*$E$93*$E$94*$E$95*$E$96</f>
        <v>181981.81478048782</v>
      </c>
      <c r="O124" s="43">
        <f t="shared" ref="O124:S124" si="42">(IF(O32=0,0,IF(O73=0,((O78-(O76-O32)*(O78-O77)/(O76-O75))*O32),O73*O32)))*$E$93*$E$94*$E$95*$E$96</f>
        <v>0</v>
      </c>
      <c r="P124" s="43">
        <f t="shared" si="42"/>
        <v>0</v>
      </c>
      <c r="Q124" s="43">
        <f>(IF(Q32=0,0,IF(Q79=0,((Q84-(Q82-Q32)*(Q84-Q83)/(Q82-Q81))*Q32),Q79*Q32)))*$E$93*$E$94*$E$95*$E$96</f>
        <v>0</v>
      </c>
      <c r="R124" s="43">
        <f t="shared" si="42"/>
        <v>0</v>
      </c>
      <c r="S124" s="43">
        <f t="shared" si="42"/>
        <v>0</v>
      </c>
      <c r="T124" s="36">
        <f>SUM(F124:S124)</f>
        <v>181981.81478048782</v>
      </c>
    </row>
    <row r="125" spans="1:20" s="33" customFormat="1" ht="47.25" x14ac:dyDescent="0.25">
      <c r="A125" s="13" t="s">
        <v>301</v>
      </c>
      <c r="B125" s="13"/>
      <c r="C125" s="13"/>
      <c r="D125" s="13"/>
      <c r="E125" s="69"/>
      <c r="F125" s="43">
        <f t="shared" ref="F125:M125" si="43">(IF(F33=0,0,IF(F73=0,((F78-(F76-F33)*(F78-F77)/(F76-F75))*F33),F73*F33)))*$E$93*$E$94*$E$95*$E$96</f>
        <v>0</v>
      </c>
      <c r="G125" s="43">
        <f t="shared" si="43"/>
        <v>0</v>
      </c>
      <c r="H125" s="43">
        <f t="shared" si="43"/>
        <v>0</v>
      </c>
      <c r="I125" s="43">
        <f t="shared" si="43"/>
        <v>0</v>
      </c>
      <c r="J125" s="43">
        <f t="shared" si="43"/>
        <v>0</v>
      </c>
      <c r="K125" s="43">
        <f t="shared" si="43"/>
        <v>0</v>
      </c>
      <c r="L125" s="43">
        <f t="shared" si="43"/>
        <v>0</v>
      </c>
      <c r="M125" s="43">
        <f t="shared" si="43"/>
        <v>0</v>
      </c>
      <c r="N125" s="43">
        <f>(IF(N33=0,0,IF(N73=0,((N78-(N76-N33)*(N78-N77)/(N76-N75))*N33),N73*N33)))*$E$93*$E$94*$E$95*$E$96</f>
        <v>0</v>
      </c>
      <c r="O125" s="43">
        <f t="shared" ref="O125:S125" si="44">(IF(O33=0,0,IF(O73=0,((O78-(O76-O33)*(O78-O77)/(O76-O75))*O33),O73*O33)))*$E$93*$E$94*$E$95*$E$96</f>
        <v>0</v>
      </c>
      <c r="P125" s="43">
        <f t="shared" si="44"/>
        <v>0</v>
      </c>
      <c r="Q125" s="43">
        <f t="shared" si="44"/>
        <v>0</v>
      </c>
      <c r="R125" s="43">
        <f t="shared" si="44"/>
        <v>0</v>
      </c>
      <c r="S125" s="43">
        <f t="shared" si="44"/>
        <v>0</v>
      </c>
      <c r="T125" s="36">
        <f>SUM(F125:S125)</f>
        <v>0</v>
      </c>
    </row>
    <row r="126" spans="1:20" s="33" customFormat="1" ht="63" x14ac:dyDescent="0.25">
      <c r="A126" s="89" t="s">
        <v>302</v>
      </c>
      <c r="B126" s="89"/>
      <c r="C126" s="89"/>
      <c r="D126" s="89"/>
      <c r="E126" s="91">
        <f>SUM(F126:S126)</f>
        <v>238858.10832441176</v>
      </c>
      <c r="F126" s="88">
        <f t="shared" ref="F126:S126" si="45">F127+F128</f>
        <v>0</v>
      </c>
      <c r="G126" s="88">
        <f t="shared" si="45"/>
        <v>0</v>
      </c>
      <c r="H126" s="88">
        <f t="shared" si="45"/>
        <v>0</v>
      </c>
      <c r="I126" s="88">
        <f t="shared" si="45"/>
        <v>0</v>
      </c>
      <c r="J126" s="88">
        <f t="shared" si="45"/>
        <v>0</v>
      </c>
      <c r="K126" s="88">
        <f t="shared" si="45"/>
        <v>0</v>
      </c>
      <c r="L126" s="88">
        <f t="shared" si="45"/>
        <v>0</v>
      </c>
      <c r="M126" s="88">
        <f t="shared" si="45"/>
        <v>0</v>
      </c>
      <c r="N126" s="88">
        <f t="shared" si="45"/>
        <v>0</v>
      </c>
      <c r="O126" s="88">
        <f t="shared" si="45"/>
        <v>0</v>
      </c>
      <c r="P126" s="88">
        <f t="shared" si="45"/>
        <v>0</v>
      </c>
      <c r="Q126" s="88">
        <f t="shared" si="45"/>
        <v>238858.10832441176</v>
      </c>
      <c r="R126" s="88">
        <f t="shared" si="45"/>
        <v>0</v>
      </c>
      <c r="S126" s="88">
        <f t="shared" si="45"/>
        <v>0</v>
      </c>
      <c r="T126" s="36">
        <f>T127+T128</f>
        <v>238858.10832441176</v>
      </c>
    </row>
    <row r="127" spans="1:20" s="33" customFormat="1" ht="31.5" x14ac:dyDescent="0.25">
      <c r="A127" s="13" t="s">
        <v>303</v>
      </c>
      <c r="B127" s="13"/>
      <c r="C127" s="13"/>
      <c r="D127" s="13"/>
      <c r="E127" s="69"/>
      <c r="F127" s="43">
        <f t="shared" ref="F127:P127" si="46">(IF(F35=0,0,IF(F79=0,((F84-(F82-F35)*(F84-F83)/(F82-F81))*F35),F79*F35)))*$E$93*$E$94*$E$95*$E$96</f>
        <v>0</v>
      </c>
      <c r="G127" s="43">
        <f t="shared" si="46"/>
        <v>0</v>
      </c>
      <c r="H127" s="43">
        <f t="shared" si="46"/>
        <v>0</v>
      </c>
      <c r="I127" s="43">
        <f t="shared" si="46"/>
        <v>0</v>
      </c>
      <c r="J127" s="43">
        <f t="shared" si="46"/>
        <v>0</v>
      </c>
      <c r="K127" s="43">
        <f t="shared" si="46"/>
        <v>0</v>
      </c>
      <c r="L127" s="43">
        <f t="shared" si="46"/>
        <v>0</v>
      </c>
      <c r="M127" s="43">
        <f t="shared" si="46"/>
        <v>0</v>
      </c>
      <c r="N127" s="43">
        <f t="shared" si="46"/>
        <v>0</v>
      </c>
      <c r="O127" s="43">
        <f t="shared" si="46"/>
        <v>0</v>
      </c>
      <c r="P127" s="43">
        <f t="shared" si="46"/>
        <v>0</v>
      </c>
      <c r="Q127" s="43">
        <f>(IF(Q35=0,0,IF(Q79=0,((Q84-(Q82-Q35)*(Q84-Q83)/(Q82-Q81))*Q35),Q79*Q35)))*$E$93*$E$94*$E$95*$E$96</f>
        <v>238858.10832441176</v>
      </c>
      <c r="R127" s="43">
        <f t="shared" ref="R127:S127" si="47">(IF(R35=0,0,IF(R79=0,((R84-(R82-R35)*(R84-R83)/(R82-R81))*R35),R79*R35)))*$E$93*$E$94*$E$95*$E$96</f>
        <v>0</v>
      </c>
      <c r="S127" s="43">
        <f t="shared" si="47"/>
        <v>0</v>
      </c>
      <c r="T127" s="36">
        <f>SUM(F127:S127)</f>
        <v>238858.10832441176</v>
      </c>
    </row>
    <row r="128" spans="1:20" s="33" customFormat="1" ht="47.25" x14ac:dyDescent="0.25">
      <c r="A128" s="13" t="s">
        <v>304</v>
      </c>
      <c r="B128" s="13"/>
      <c r="C128" s="13"/>
      <c r="D128" s="13"/>
      <c r="E128" s="69"/>
      <c r="F128" s="43">
        <f t="shared" ref="F128:P128" si="48">(IF(F36=0,0,IF(F79=0,((F84-(F82-F36)*(F84-F83)/(F82-F81))*F36),F79*F36)))*$E$93*$E$94*$E$95*$E$96</f>
        <v>0</v>
      </c>
      <c r="G128" s="43">
        <f t="shared" si="48"/>
        <v>0</v>
      </c>
      <c r="H128" s="43">
        <f t="shared" si="48"/>
        <v>0</v>
      </c>
      <c r="I128" s="43">
        <f t="shared" si="48"/>
        <v>0</v>
      </c>
      <c r="J128" s="43">
        <f t="shared" si="48"/>
        <v>0</v>
      </c>
      <c r="K128" s="43">
        <f t="shared" si="48"/>
        <v>0</v>
      </c>
      <c r="L128" s="43">
        <f t="shared" si="48"/>
        <v>0</v>
      </c>
      <c r="M128" s="43">
        <f t="shared" si="48"/>
        <v>0</v>
      </c>
      <c r="N128" s="43">
        <f t="shared" si="48"/>
        <v>0</v>
      </c>
      <c r="O128" s="43">
        <f t="shared" si="48"/>
        <v>0</v>
      </c>
      <c r="P128" s="43">
        <f t="shared" si="48"/>
        <v>0</v>
      </c>
      <c r="Q128" s="43">
        <f>(IF(Q36=0,0,IF(Q79=0,((Q84-(Q82-Q36)*(Q84-Q83)/(Q82-Q81))*Q36),Q79*Q36)))*$E$93*$E$94*$E$95*$E$96</f>
        <v>0</v>
      </c>
      <c r="R128" s="43">
        <f t="shared" ref="R128:S128" si="49">(IF(R36=0,0,IF(R79=0,((R84-(R82-R36)*(R84-R83)/(R82-R81))*R36),R79*R36)))*$E$93*$E$94*$E$95*$E$96</f>
        <v>0</v>
      </c>
      <c r="S128" s="43">
        <f t="shared" si="49"/>
        <v>0</v>
      </c>
      <c r="T128" s="36">
        <f>SUM(F128:S128)</f>
        <v>0</v>
      </c>
    </row>
    <row r="129" spans="1:20" s="33" customFormat="1" ht="78.75" x14ac:dyDescent="0.25">
      <c r="A129" s="89" t="s">
        <v>305</v>
      </c>
      <c r="B129" s="89"/>
      <c r="C129" s="89"/>
      <c r="D129" s="89"/>
      <c r="E129" s="91">
        <f>SUM(F129:S129)</f>
        <v>16845.406200000001</v>
      </c>
      <c r="F129" s="88">
        <f t="shared" ref="F129:S129" si="50">F130+F131</f>
        <v>0</v>
      </c>
      <c r="G129" s="88">
        <f t="shared" si="50"/>
        <v>0</v>
      </c>
      <c r="H129" s="88">
        <f t="shared" si="50"/>
        <v>0</v>
      </c>
      <c r="I129" s="88">
        <f t="shared" si="50"/>
        <v>0</v>
      </c>
      <c r="J129" s="88">
        <f t="shared" si="50"/>
        <v>16845.406200000001</v>
      </c>
      <c r="K129" s="88">
        <f t="shared" si="50"/>
        <v>0</v>
      </c>
      <c r="L129" s="88">
        <f t="shared" si="50"/>
        <v>0</v>
      </c>
      <c r="M129" s="88">
        <f t="shared" si="50"/>
        <v>0</v>
      </c>
      <c r="N129" s="88">
        <f t="shared" si="50"/>
        <v>0</v>
      </c>
      <c r="O129" s="88">
        <f t="shared" si="50"/>
        <v>0</v>
      </c>
      <c r="P129" s="88">
        <f t="shared" si="50"/>
        <v>0</v>
      </c>
      <c r="Q129" s="88">
        <f t="shared" si="50"/>
        <v>0</v>
      </c>
      <c r="R129" s="88">
        <f t="shared" si="50"/>
        <v>0</v>
      </c>
      <c r="S129" s="88">
        <f t="shared" si="50"/>
        <v>0</v>
      </c>
      <c r="T129" s="36">
        <f>T130+T131</f>
        <v>16845.406200000001</v>
      </c>
    </row>
    <row r="130" spans="1:20" s="33" customFormat="1" ht="63" x14ac:dyDescent="0.25">
      <c r="A130" s="13" t="s">
        <v>310</v>
      </c>
      <c r="B130" s="13"/>
      <c r="C130" s="13"/>
      <c r="D130" s="13"/>
      <c r="E130" s="69"/>
      <c r="F130" s="43">
        <f t="shared" ref="F130:I130" si="51">(IF(F38=0,0,F85*F38))*$E$93*$E$94*$E$95*$E$96</f>
        <v>0</v>
      </c>
      <c r="G130" s="43">
        <f t="shared" si="51"/>
        <v>0</v>
      </c>
      <c r="H130" s="43">
        <f t="shared" si="51"/>
        <v>0</v>
      </c>
      <c r="I130" s="43">
        <f t="shared" si="51"/>
        <v>0</v>
      </c>
      <c r="J130" s="43">
        <f>(IF(J38=0,0,J85*J38))*$E$93*$E$94*$E$95*$E$96</f>
        <v>16845.406200000001</v>
      </c>
      <c r="K130" s="43">
        <f t="shared" ref="K130:S130" si="52">(IF(K38=0,0,K85*K38))*$E$93*$E$94*$E$95*$E$96</f>
        <v>0</v>
      </c>
      <c r="L130" s="43">
        <f t="shared" si="52"/>
        <v>0</v>
      </c>
      <c r="M130" s="43">
        <f t="shared" si="52"/>
        <v>0</v>
      </c>
      <c r="N130" s="43">
        <f t="shared" si="52"/>
        <v>0</v>
      </c>
      <c r="O130" s="43">
        <f t="shared" si="52"/>
        <v>0</v>
      </c>
      <c r="P130" s="43">
        <f t="shared" si="52"/>
        <v>0</v>
      </c>
      <c r="Q130" s="43">
        <f t="shared" si="52"/>
        <v>0</v>
      </c>
      <c r="R130" s="43">
        <f t="shared" si="52"/>
        <v>0</v>
      </c>
      <c r="S130" s="43">
        <f t="shared" si="52"/>
        <v>0</v>
      </c>
      <c r="T130" s="36">
        <f>SUM(F130:S130)</f>
        <v>16845.406200000001</v>
      </c>
    </row>
    <row r="131" spans="1:20" s="33" customFormat="1" ht="68.25" customHeight="1" x14ac:dyDescent="0.25">
      <c r="A131" s="13" t="s">
        <v>309</v>
      </c>
      <c r="B131" s="13"/>
      <c r="C131" s="13"/>
      <c r="D131" s="13"/>
      <c r="E131" s="69"/>
      <c r="F131" s="43">
        <f t="shared" ref="F131:I131" si="53">(IF(F39=0,0,F85*F39))*$E$93*$E$94*$E$95*$E$96</f>
        <v>0</v>
      </c>
      <c r="G131" s="43">
        <f t="shared" si="53"/>
        <v>0</v>
      </c>
      <c r="H131" s="43">
        <f t="shared" si="53"/>
        <v>0</v>
      </c>
      <c r="I131" s="43">
        <f t="shared" si="53"/>
        <v>0</v>
      </c>
      <c r="J131" s="43">
        <f>(IF(J39=0,0,J85*J39))*$E$93*$E$94*$E$95*$E$96</f>
        <v>0</v>
      </c>
      <c r="K131" s="43">
        <f t="shared" ref="K131:S131" si="54">(IF(K39=0,0,K85*K39))*$E$93*$E$94*$E$95*$E$96</f>
        <v>0</v>
      </c>
      <c r="L131" s="43">
        <f t="shared" si="54"/>
        <v>0</v>
      </c>
      <c r="M131" s="43">
        <f t="shared" si="54"/>
        <v>0</v>
      </c>
      <c r="N131" s="43">
        <f t="shared" si="54"/>
        <v>0</v>
      </c>
      <c r="O131" s="43">
        <f t="shared" si="54"/>
        <v>0</v>
      </c>
      <c r="P131" s="43">
        <f t="shared" si="54"/>
        <v>0</v>
      </c>
      <c r="Q131" s="43">
        <f t="shared" si="54"/>
        <v>0</v>
      </c>
      <c r="R131" s="43">
        <f t="shared" si="54"/>
        <v>0</v>
      </c>
      <c r="S131" s="43">
        <f t="shared" si="54"/>
        <v>0</v>
      </c>
      <c r="T131" s="36">
        <f>SUM(F131:S131)</f>
        <v>0</v>
      </c>
    </row>
    <row r="132" spans="1:20" s="33" customFormat="1" ht="47.25" x14ac:dyDescent="0.25">
      <c r="A132" s="89" t="s">
        <v>311</v>
      </c>
      <c r="B132" s="89"/>
      <c r="C132" s="89"/>
      <c r="D132" s="89"/>
      <c r="E132" s="91">
        <f>SUM(F132:S132)</f>
        <v>2025817.0640816328</v>
      </c>
      <c r="F132" s="88">
        <f t="shared" ref="F132:S132" si="55">SUM(F133:F134)</f>
        <v>0</v>
      </c>
      <c r="G132" s="88">
        <f t="shared" si="55"/>
        <v>0</v>
      </c>
      <c r="H132" s="88">
        <f t="shared" si="55"/>
        <v>0</v>
      </c>
      <c r="I132" s="88">
        <f t="shared" si="55"/>
        <v>0</v>
      </c>
      <c r="J132" s="88">
        <f t="shared" si="55"/>
        <v>0</v>
      </c>
      <c r="K132" s="88">
        <f t="shared" si="55"/>
        <v>1012908.5320408164</v>
      </c>
      <c r="L132" s="88">
        <f t="shared" si="55"/>
        <v>0</v>
      </c>
      <c r="M132" s="88">
        <f t="shared" si="55"/>
        <v>0</v>
      </c>
      <c r="N132" s="88">
        <f t="shared" si="55"/>
        <v>0</v>
      </c>
      <c r="O132" s="88">
        <f t="shared" si="55"/>
        <v>0</v>
      </c>
      <c r="P132" s="88">
        <f t="shared" si="55"/>
        <v>1012908.5320408164</v>
      </c>
      <c r="Q132" s="88">
        <f t="shared" si="55"/>
        <v>0</v>
      </c>
      <c r="R132" s="88">
        <f t="shared" si="55"/>
        <v>0</v>
      </c>
      <c r="S132" s="88">
        <f t="shared" si="55"/>
        <v>0</v>
      </c>
      <c r="T132" s="36">
        <f>SUM(T133:T134)</f>
        <v>2025817.0640816328</v>
      </c>
    </row>
    <row r="133" spans="1:20" s="33" customFormat="1" ht="31.5" x14ac:dyDescent="0.25">
      <c r="A133" s="13" t="s">
        <v>312</v>
      </c>
      <c r="B133" s="13"/>
      <c r="C133" s="13"/>
      <c r="D133" s="13"/>
      <c r="E133" s="69"/>
      <c r="F133" s="43">
        <f t="shared" ref="F133:J133" si="56">(IF(F41=0,0,IF(F86=0,((F91-(F89-F41)*(F91-F90)/(F89-F88))*F41),F86*F41)))*$E$93*$E$94*$E$95*$E$96</f>
        <v>0</v>
      </c>
      <c r="G133" s="43">
        <f t="shared" si="56"/>
        <v>0</v>
      </c>
      <c r="H133" s="43">
        <f t="shared" si="56"/>
        <v>0</v>
      </c>
      <c r="I133" s="43">
        <f t="shared" si="56"/>
        <v>0</v>
      </c>
      <c r="J133" s="43">
        <f t="shared" si="56"/>
        <v>0</v>
      </c>
      <c r="K133" s="43">
        <f>(IF(K41=0,0,IF(K86=0,((K91-(K89-K41)*(K91-K90)/(K89-K88))*K41),K86*K41)))*$E$93*$E$94*$E$95*$E$96</f>
        <v>1012908.5320408164</v>
      </c>
      <c r="L133" s="43">
        <f t="shared" ref="L133:S133" si="57">(IF(L41=0,0,IF(L86=0,((L91-(L89-L41)*(L91-L90)/(L89-L88))*L41),L86*L41)))*$E$93*$E$94*$E$95*$E$96</f>
        <v>0</v>
      </c>
      <c r="M133" s="43">
        <f t="shared" si="57"/>
        <v>0</v>
      </c>
      <c r="N133" s="43">
        <f t="shared" si="57"/>
        <v>0</v>
      </c>
      <c r="O133" s="43">
        <f t="shared" si="57"/>
        <v>0</v>
      </c>
      <c r="P133" s="43">
        <f t="shared" si="57"/>
        <v>1012908.5320408164</v>
      </c>
      <c r="Q133" s="43">
        <f t="shared" si="57"/>
        <v>0</v>
      </c>
      <c r="R133" s="43">
        <f t="shared" si="57"/>
        <v>0</v>
      </c>
      <c r="S133" s="43">
        <f t="shared" si="57"/>
        <v>0</v>
      </c>
      <c r="T133" s="36">
        <f>SUM(F133:S133)</f>
        <v>2025817.0640816328</v>
      </c>
    </row>
    <row r="134" spans="1:20" s="33" customFormat="1" ht="31.5" x14ac:dyDescent="0.25">
      <c r="A134" s="13" t="s">
        <v>313</v>
      </c>
      <c r="B134" s="13"/>
      <c r="C134" s="13"/>
      <c r="D134" s="13"/>
      <c r="E134" s="69"/>
      <c r="F134" s="43">
        <f t="shared" ref="F134:J134" si="58">(IF(F42=0,0,IF(F86=0,((F91-(F89-F42)*(F91-F90)/(F89-F88))*F42),F86*F42)))*$E$93*$E$94*$E$95*$E$96</f>
        <v>0</v>
      </c>
      <c r="G134" s="43">
        <f t="shared" si="58"/>
        <v>0</v>
      </c>
      <c r="H134" s="43">
        <f t="shared" si="58"/>
        <v>0</v>
      </c>
      <c r="I134" s="43">
        <f t="shared" si="58"/>
        <v>0</v>
      </c>
      <c r="J134" s="43">
        <f t="shared" si="58"/>
        <v>0</v>
      </c>
      <c r="K134" s="43">
        <f>(IF(K42=0,0,IF(K86=0,((K91-(K89-K42)*(K91-K90)/(K89-K88))*K42),K86*K42)))*$E$93*$E$94*$E$95*$E$96</f>
        <v>0</v>
      </c>
      <c r="L134" s="43">
        <f t="shared" ref="L134:S134" si="59">(IF(L42=0,0,IF(L86=0,((L91-(L89-L42)*(L91-L90)/(L89-L88))*L42),L86*L42)))*$E$93*$E$94*$E$95*$E$96</f>
        <v>0</v>
      </c>
      <c r="M134" s="43">
        <f t="shared" si="59"/>
        <v>0</v>
      </c>
      <c r="N134" s="43">
        <f t="shared" si="59"/>
        <v>0</v>
      </c>
      <c r="O134" s="43">
        <f t="shared" si="59"/>
        <v>0</v>
      </c>
      <c r="P134" s="43">
        <f t="shared" si="59"/>
        <v>0</v>
      </c>
      <c r="Q134" s="43">
        <f t="shared" si="59"/>
        <v>0</v>
      </c>
      <c r="R134" s="43">
        <f t="shared" si="59"/>
        <v>0</v>
      </c>
      <c r="S134" s="43">
        <f t="shared" si="59"/>
        <v>0</v>
      </c>
      <c r="T134" s="36">
        <f>SUM(F134:S134)</f>
        <v>0</v>
      </c>
    </row>
    <row r="135" spans="1:20" s="33" customFormat="1" ht="63" x14ac:dyDescent="0.25">
      <c r="A135" s="92" t="s">
        <v>293</v>
      </c>
      <c r="B135" s="92"/>
      <c r="C135" s="93"/>
      <c r="D135" s="93"/>
      <c r="E135" s="94">
        <f>SUM(F135:S135)</f>
        <v>4346854.8163500624</v>
      </c>
      <c r="F135" s="94">
        <f t="shared" ref="F135:R135" si="60">F98+F101+F104+F107+F110+F113</f>
        <v>0</v>
      </c>
      <c r="G135" s="94">
        <f t="shared" si="60"/>
        <v>184760.31000000003</v>
      </c>
      <c r="H135" s="94">
        <f t="shared" si="60"/>
        <v>99502.248585481488</v>
      </c>
      <c r="I135" s="94">
        <f t="shared" si="60"/>
        <v>0</v>
      </c>
      <c r="J135" s="94">
        <f t="shared" si="60"/>
        <v>16845.406200000001</v>
      </c>
      <c r="K135" s="94">
        <f t="shared" si="60"/>
        <v>1615863.9880408165</v>
      </c>
      <c r="L135" s="94">
        <f t="shared" si="60"/>
        <v>0</v>
      </c>
      <c r="M135" s="94">
        <f t="shared" si="60"/>
        <v>184760.31000000003</v>
      </c>
      <c r="N135" s="94">
        <f t="shared" si="60"/>
        <v>374599.36928048788</v>
      </c>
      <c r="O135" s="94">
        <f t="shared" si="60"/>
        <v>153774.86487804877</v>
      </c>
      <c r="P135" s="94">
        <f t="shared" si="60"/>
        <v>1477890.2110408165</v>
      </c>
      <c r="Q135" s="94">
        <f t="shared" si="60"/>
        <v>238858.10832441176</v>
      </c>
      <c r="R135" s="94">
        <f t="shared" si="60"/>
        <v>0</v>
      </c>
      <c r="S135" s="94">
        <f>S98+S101+S104+S107+S110+S113</f>
        <v>0</v>
      </c>
      <c r="T135" s="36">
        <f>T98+T101+T104+T107+T110+T113</f>
        <v>4346854.8163500633</v>
      </c>
    </row>
    <row r="136" spans="1:20" x14ac:dyDescent="0.25">
      <c r="A136" s="7" t="s">
        <v>79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126" x14ac:dyDescent="0.25">
      <c r="A137" s="39" t="s">
        <v>332</v>
      </c>
      <c r="B137" s="40" t="s">
        <v>81</v>
      </c>
      <c r="C137" s="13" t="s">
        <v>192</v>
      </c>
      <c r="D137" s="13" t="s">
        <v>82</v>
      </c>
      <c r="E137" s="14">
        <v>106</v>
      </c>
      <c r="F137" s="14">
        <v>104</v>
      </c>
      <c r="G137" s="14">
        <v>104</v>
      </c>
      <c r="H137" s="14">
        <v>104</v>
      </c>
      <c r="I137" s="14">
        <v>104</v>
      </c>
      <c r="J137" s="14">
        <v>104</v>
      </c>
      <c r="K137" s="14">
        <v>104</v>
      </c>
      <c r="L137" s="14">
        <v>104</v>
      </c>
      <c r="M137" s="14">
        <v>104</v>
      </c>
      <c r="N137" s="14">
        <v>104</v>
      </c>
      <c r="O137" s="14">
        <v>104</v>
      </c>
      <c r="P137" s="14">
        <v>104</v>
      </c>
      <c r="Q137" s="14">
        <v>104</v>
      </c>
      <c r="R137" s="14">
        <v>104</v>
      </c>
      <c r="S137" s="14">
        <v>104</v>
      </c>
      <c r="T137" s="36"/>
    </row>
    <row r="138" spans="1:20" ht="47.25" x14ac:dyDescent="0.25">
      <c r="A138" s="39" t="s">
        <v>265</v>
      </c>
      <c r="B138" s="40" t="s">
        <v>350</v>
      </c>
      <c r="C138" s="13"/>
      <c r="D138" s="13" t="s">
        <v>73</v>
      </c>
      <c r="E138" s="41"/>
      <c r="F138" s="41">
        <f>F137/100</f>
        <v>1.04</v>
      </c>
      <c r="G138" s="41">
        <f>F137*G137/10000</f>
        <v>1.0815999999999999</v>
      </c>
      <c r="H138" s="41">
        <f t="shared" ref="H138:S138" si="61">G138*H137/100</f>
        <v>1.1248639999999999</v>
      </c>
      <c r="I138" s="41">
        <f t="shared" si="61"/>
        <v>1.1698585599999998</v>
      </c>
      <c r="J138" s="41">
        <f t="shared" si="61"/>
        <v>1.2166529023999997</v>
      </c>
      <c r="K138" s="41">
        <f t="shared" si="61"/>
        <v>1.2653190184959997</v>
      </c>
      <c r="L138" s="41">
        <f t="shared" si="61"/>
        <v>1.3159317792358396</v>
      </c>
      <c r="M138" s="41">
        <f t="shared" si="61"/>
        <v>1.3685690504052732</v>
      </c>
      <c r="N138" s="41">
        <f t="shared" si="61"/>
        <v>1.4233118124214841</v>
      </c>
      <c r="O138" s="41">
        <f t="shared" si="61"/>
        <v>1.4802442849183435</v>
      </c>
      <c r="P138" s="41">
        <f t="shared" si="61"/>
        <v>1.5394540563150771</v>
      </c>
      <c r="Q138" s="41">
        <f t="shared" si="61"/>
        <v>1.6010322185676802</v>
      </c>
      <c r="R138" s="41">
        <f t="shared" si="61"/>
        <v>1.6650735073103875</v>
      </c>
      <c r="S138" s="41">
        <f t="shared" si="61"/>
        <v>1.731676447602803</v>
      </c>
      <c r="T138" s="36"/>
    </row>
    <row r="139" spans="1:20" ht="63" x14ac:dyDescent="0.25">
      <c r="A139" s="92" t="s">
        <v>316</v>
      </c>
      <c r="B139" s="92" t="s">
        <v>71</v>
      </c>
      <c r="C139" s="93" t="s">
        <v>84</v>
      </c>
      <c r="D139" s="93" t="s">
        <v>73</v>
      </c>
      <c r="E139" s="95"/>
      <c r="F139" s="94">
        <f t="shared" ref="F139:S139" si="62">F135*F138</f>
        <v>0</v>
      </c>
      <c r="G139" s="94">
        <f t="shared" si="62"/>
        <v>199836.751296</v>
      </c>
      <c r="H139" s="94">
        <f t="shared" si="62"/>
        <v>111926.49735285903</v>
      </c>
      <c r="I139" s="94">
        <f t="shared" si="62"/>
        <v>0</v>
      </c>
      <c r="J139" s="94">
        <f t="shared" si="62"/>
        <v>20495.012345336952</v>
      </c>
      <c r="K139" s="94">
        <f t="shared" si="62"/>
        <v>2044583.4353708378</v>
      </c>
      <c r="L139" s="94">
        <f t="shared" si="62"/>
        <v>0</v>
      </c>
      <c r="M139" s="94">
        <f t="shared" si="62"/>
        <v>252857.24200928395</v>
      </c>
      <c r="N139" s="94">
        <f t="shared" si="62"/>
        <v>533171.707222556</v>
      </c>
      <c r="O139" s="94">
        <f t="shared" si="62"/>
        <v>227624.36489982219</v>
      </c>
      <c r="P139" s="94">
        <f t="shared" si="62"/>
        <v>2275144.0801751302</v>
      </c>
      <c r="Q139" s="94">
        <f t="shared" si="62"/>
        <v>382419.52709351224</v>
      </c>
      <c r="R139" s="94">
        <f t="shared" si="62"/>
        <v>0</v>
      </c>
      <c r="S139" s="94">
        <f t="shared" si="62"/>
        <v>0</v>
      </c>
      <c r="T139" s="38">
        <f>SUM(F139:S139)</f>
        <v>6048058.6177653382</v>
      </c>
    </row>
    <row r="140" spans="1:20" ht="94.5" x14ac:dyDescent="0.25">
      <c r="A140" s="99" t="s">
        <v>317</v>
      </c>
      <c r="B140" s="99" t="s">
        <v>71</v>
      </c>
      <c r="C140" s="74"/>
      <c r="D140" s="74" t="s">
        <v>73</v>
      </c>
      <c r="E140" s="97"/>
      <c r="F140" s="98">
        <f>F139</f>
        <v>0</v>
      </c>
      <c r="G140" s="98">
        <f>G139</f>
        <v>199836.751296</v>
      </c>
      <c r="H140" s="98">
        <f>H139</f>
        <v>111926.49735285903</v>
      </c>
      <c r="I140" s="98">
        <f>I139</f>
        <v>0</v>
      </c>
      <c r="J140" s="98">
        <f>J139</f>
        <v>20495.012345336952</v>
      </c>
      <c r="K140" s="98">
        <f>SUM(K141:K145)</f>
        <v>511145.85884270945</v>
      </c>
      <c r="L140" s="98">
        <f t="shared" ref="L140:S140" si="63">SUM(L141:L145)</f>
        <v>511145.85884270945</v>
      </c>
      <c r="M140" s="98">
        <f t="shared" si="63"/>
        <v>637574.47984735144</v>
      </c>
      <c r="N140" s="98">
        <f t="shared" si="63"/>
        <v>815298.38225487014</v>
      </c>
      <c r="O140" s="98">
        <f t="shared" si="63"/>
        <v>405348.26730734087</v>
      </c>
      <c r="P140" s="98">
        <f t="shared" si="63"/>
        <v>746509.92245130125</v>
      </c>
      <c r="Q140" s="98">
        <f t="shared" si="63"/>
        <v>759995.78359053866</v>
      </c>
      <c r="R140" s="98">
        <f t="shared" si="63"/>
        <v>759995.78359053866</v>
      </c>
      <c r="S140" s="98">
        <f t="shared" si="63"/>
        <v>568786.02004378254</v>
      </c>
      <c r="T140" s="38">
        <f>SUM(F140:S140)</f>
        <v>6048058.6177653391</v>
      </c>
    </row>
    <row r="141" spans="1:20" s="96" customFormat="1" x14ac:dyDescent="0.25">
      <c r="K141" s="98">
        <f>$K$139/4</f>
        <v>511145.85884270945</v>
      </c>
      <c r="L141" s="98">
        <f t="shared" ref="L141:N141" si="64">$K$139/4</f>
        <v>511145.85884270945</v>
      </c>
      <c r="M141" s="98">
        <f t="shared" si="64"/>
        <v>511145.85884270945</v>
      </c>
      <c r="N141" s="98">
        <f t="shared" si="64"/>
        <v>511145.85884270945</v>
      </c>
      <c r="O141" s="98">
        <f>O139</f>
        <v>227624.36489982219</v>
      </c>
    </row>
    <row r="142" spans="1:20" s="96" customFormat="1" x14ac:dyDescent="0.25">
      <c r="M142" s="98">
        <f>$M$139/2</f>
        <v>126428.62100464197</v>
      </c>
      <c r="N142" s="98">
        <f>$M$139/2</f>
        <v>126428.62100464197</v>
      </c>
      <c r="O142" s="113"/>
    </row>
    <row r="143" spans="1:20" s="96" customFormat="1" x14ac:dyDescent="0.25">
      <c r="N143" s="98">
        <f>$N$139/3</f>
        <v>177723.90240751868</v>
      </c>
      <c r="O143" s="98">
        <f t="shared" ref="O143:P143" si="65">$N$139/3</f>
        <v>177723.90240751868</v>
      </c>
      <c r="P143" s="98">
        <f t="shared" si="65"/>
        <v>177723.90240751868</v>
      </c>
    </row>
    <row r="144" spans="1:20" s="96" customFormat="1" x14ac:dyDescent="0.25">
      <c r="P144" s="98">
        <f>$P$139/4</f>
        <v>568786.02004378254</v>
      </c>
      <c r="Q144" s="98">
        <f t="shared" ref="Q144:S144" si="66">$P$139/4</f>
        <v>568786.02004378254</v>
      </c>
      <c r="R144" s="98">
        <f t="shared" si="66"/>
        <v>568786.02004378254</v>
      </c>
      <c r="S144" s="98">
        <f t="shared" si="66"/>
        <v>568786.02004378254</v>
      </c>
    </row>
    <row r="145" spans="17:18" s="96" customFormat="1" x14ac:dyDescent="0.25">
      <c r="Q145" s="98">
        <f>$Q$139/2</f>
        <v>191209.76354675612</v>
      </c>
      <c r="R145" s="98">
        <f>$Q$139/2</f>
        <v>191209.76354675612</v>
      </c>
    </row>
    <row r="146" spans="17:18" s="96" customFormat="1" x14ac:dyDescent="0.25"/>
    <row r="147" spans="17:18" s="96" customFormat="1" x14ac:dyDescent="0.25"/>
    <row r="148" spans="17:18" s="96" customFormat="1" x14ac:dyDescent="0.25"/>
    <row r="149" spans="17:18" s="96" customFormat="1" x14ac:dyDescent="0.25"/>
    <row r="188" spans="1:19" hidden="1" x14ac:dyDescent="0.25">
      <c r="A188" s="45" t="s">
        <v>85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</row>
    <row r="189" spans="1:19" s="33" customFormat="1" hidden="1" x14ac:dyDescent="0.25">
      <c r="A189" s="47" t="s">
        <v>86</v>
      </c>
      <c r="B189" s="48" t="s">
        <v>87</v>
      </c>
      <c r="C189" s="47" t="s">
        <v>88</v>
      </c>
      <c r="D189" s="49"/>
      <c r="E189" s="50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</row>
    <row r="190" spans="1:19" s="33" customFormat="1" hidden="1" x14ac:dyDescent="0.25">
      <c r="A190" s="47" t="s">
        <v>89</v>
      </c>
      <c r="B190" s="48" t="s">
        <v>90</v>
      </c>
      <c r="C190" s="47" t="s">
        <v>91</v>
      </c>
      <c r="D190" s="49"/>
      <c r="E190" s="50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</row>
    <row r="191" spans="1:19" s="33" customFormat="1" hidden="1" x14ac:dyDescent="0.25">
      <c r="A191" s="47" t="s">
        <v>92</v>
      </c>
      <c r="B191" s="48" t="s">
        <v>93</v>
      </c>
      <c r="C191" s="47" t="s">
        <v>91</v>
      </c>
      <c r="D191" s="49"/>
      <c r="E191" s="50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</row>
    <row r="192" spans="1:19" s="33" customFormat="1" hidden="1" x14ac:dyDescent="0.25">
      <c r="A192" s="13" t="s">
        <v>94</v>
      </c>
      <c r="B192" s="40" t="s">
        <v>93</v>
      </c>
      <c r="C192" s="13" t="s">
        <v>88</v>
      </c>
      <c r="D192" s="37"/>
      <c r="E192" s="52" t="e">
        <f>#REF!*(#REF!/#REF!)*1000</f>
        <v>#REF!</v>
      </c>
      <c r="F192" s="52" t="e">
        <f>E192</f>
        <v>#REF!</v>
      </c>
      <c r="G192" s="52" t="e">
        <f t="shared" ref="G192:S192" si="67">F192</f>
        <v>#REF!</v>
      </c>
      <c r="H192" s="52" t="e">
        <f t="shared" si="67"/>
        <v>#REF!</v>
      </c>
      <c r="I192" s="52" t="e">
        <f t="shared" si="67"/>
        <v>#REF!</v>
      </c>
      <c r="J192" s="52" t="e">
        <f t="shared" si="67"/>
        <v>#REF!</v>
      </c>
      <c r="K192" s="52" t="e">
        <f t="shared" si="67"/>
        <v>#REF!</v>
      </c>
      <c r="L192" s="52" t="e">
        <f t="shared" si="67"/>
        <v>#REF!</v>
      </c>
      <c r="M192" s="52" t="e">
        <f t="shared" si="67"/>
        <v>#REF!</v>
      </c>
      <c r="N192" s="52" t="e">
        <f t="shared" si="67"/>
        <v>#REF!</v>
      </c>
      <c r="O192" s="52" t="e">
        <f t="shared" si="67"/>
        <v>#REF!</v>
      </c>
      <c r="P192" s="52" t="e">
        <f t="shared" si="67"/>
        <v>#REF!</v>
      </c>
      <c r="Q192" s="52" t="e">
        <f t="shared" si="67"/>
        <v>#REF!</v>
      </c>
      <c r="R192" s="52" t="e">
        <f t="shared" si="67"/>
        <v>#REF!</v>
      </c>
      <c r="S192" s="52" t="e">
        <f t="shared" si="67"/>
        <v>#REF!</v>
      </c>
    </row>
    <row r="193" spans="1:19" s="33" customFormat="1" hidden="1" x14ac:dyDescent="0.25">
      <c r="A193" s="13" t="s">
        <v>95</v>
      </c>
      <c r="B193" s="40" t="s">
        <v>96</v>
      </c>
      <c r="C193" s="13" t="s">
        <v>88</v>
      </c>
      <c r="D193" s="37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</row>
    <row r="194" spans="1:19" s="33" customFormat="1" hidden="1" x14ac:dyDescent="0.25">
      <c r="A194" s="13" t="s">
        <v>97</v>
      </c>
      <c r="B194" s="40" t="s">
        <v>96</v>
      </c>
      <c r="C194" s="13" t="s">
        <v>88</v>
      </c>
      <c r="D194" s="37"/>
      <c r="E194" s="52" t="e">
        <f>E192*'[1]Свод и выручка Водоканала'!#REF!/1000/1000*365</f>
        <v>#REF!</v>
      </c>
      <c r="F194" s="52" t="e">
        <f>F192*'[1]Свод и выручка Водоканала'!#REF!/1000/1000*365</f>
        <v>#REF!</v>
      </c>
      <c r="G194" s="52" t="e">
        <f>G192*'[1]Свод и выручка Водоканала'!#REF!/1000/1000*365</f>
        <v>#REF!</v>
      </c>
      <c r="H194" s="52" t="e">
        <f>H192*'[1]Свод и выручка Водоканала'!#REF!/1000/1000*365</f>
        <v>#REF!</v>
      </c>
      <c r="I194" s="52" t="e">
        <f>I192*'[1]Свод и выручка Водоканала'!#REF!/1000/1000*365</f>
        <v>#REF!</v>
      </c>
      <c r="J194" s="52" t="e">
        <f>J192*'[1]Свод и выручка Водоканала'!#REF!/1000/1000*365</f>
        <v>#REF!</v>
      </c>
      <c r="K194" s="52" t="e">
        <f>K192*'[1]Свод и выручка Водоканала'!#REF!/1000/1000*365</f>
        <v>#REF!</v>
      </c>
      <c r="L194" s="52" t="e">
        <f>L192*'[1]Свод и выручка Водоканала'!#REF!/1000/1000*365</f>
        <v>#REF!</v>
      </c>
      <c r="M194" s="52" t="e">
        <f>M192*'[1]Свод и выручка Водоканала'!#REF!/1000/1000*365</f>
        <v>#REF!</v>
      </c>
      <c r="N194" s="52" t="e">
        <f>N192*'[1]Свод и выручка Водоканала'!#REF!/1000/1000*365</f>
        <v>#REF!</v>
      </c>
      <c r="O194" s="52" t="e">
        <f>O192*'[1]Свод и выручка Водоканала'!#REF!/1000/1000*365</f>
        <v>#REF!</v>
      </c>
      <c r="P194" s="52" t="e">
        <f>P192*'[1]Свод и выручка Водоканала'!#REF!/1000/1000*365</f>
        <v>#REF!</v>
      </c>
      <c r="Q194" s="52" t="e">
        <f>Q192*'[1]Свод и выручка Водоканала'!#REF!/1000/1000*365</f>
        <v>#REF!</v>
      </c>
      <c r="R194" s="52" t="e">
        <f>R192*'[1]Свод и выручка Водоканала'!#REF!/1000/1000*365</f>
        <v>#REF!</v>
      </c>
      <c r="S194" s="52" t="e">
        <f>S192*'[1]Свод и выручка Водоканала'!#REF!/1000/1000*365</f>
        <v>#REF!</v>
      </c>
    </row>
    <row r="195" spans="1:19" s="33" customFormat="1" hidden="1" x14ac:dyDescent="0.25">
      <c r="A195" s="13" t="s">
        <v>98</v>
      </c>
      <c r="B195" s="40" t="s">
        <v>96</v>
      </c>
      <c r="C195" s="13" t="s">
        <v>88</v>
      </c>
      <c r="D195" s="37"/>
      <c r="E195" s="52" t="e">
        <f>E192*'[1]Свод и выручка Водоканала'!#REF!/1000/1000*365</f>
        <v>#REF!</v>
      </c>
      <c r="F195" s="52" t="e">
        <f>F192*'[1]Свод и выручка Водоканала'!#REF!/1000/1000*365</f>
        <v>#REF!</v>
      </c>
      <c r="G195" s="52" t="e">
        <f>G192*'[1]Свод и выручка Водоканала'!#REF!/1000/1000*365</f>
        <v>#REF!</v>
      </c>
      <c r="H195" s="52" t="e">
        <f>H192*'[1]Свод и выручка Водоканала'!#REF!/1000/1000*365</f>
        <v>#REF!</v>
      </c>
      <c r="I195" s="52" t="e">
        <f>I192*'[1]Свод и выручка Водоканала'!#REF!/1000/1000*365</f>
        <v>#REF!</v>
      </c>
      <c r="J195" s="52" t="e">
        <f>J192*'[1]Свод и выручка Водоканала'!#REF!/1000/1000*365</f>
        <v>#REF!</v>
      </c>
      <c r="K195" s="52" t="e">
        <f>K192*'[1]Свод и выручка Водоканала'!#REF!/1000/1000*365</f>
        <v>#REF!</v>
      </c>
      <c r="L195" s="52" t="e">
        <f>L192*'[1]Свод и выручка Водоканала'!#REF!/1000/1000*365</f>
        <v>#REF!</v>
      </c>
      <c r="M195" s="52" t="e">
        <f>M192*'[1]Свод и выручка Водоканала'!#REF!/1000/1000*365</f>
        <v>#REF!</v>
      </c>
      <c r="N195" s="52" t="e">
        <f>N192*'[1]Свод и выручка Водоканала'!#REF!/1000/1000*365</f>
        <v>#REF!</v>
      </c>
      <c r="O195" s="52" t="e">
        <f>O192*'[1]Свод и выручка Водоканала'!#REF!/1000/1000*365</f>
        <v>#REF!</v>
      </c>
      <c r="P195" s="52" t="e">
        <f>P192*'[1]Свод и выручка Водоканала'!#REF!/1000/1000*365</f>
        <v>#REF!</v>
      </c>
      <c r="Q195" s="52" t="e">
        <f>Q192*'[1]Свод и выручка Водоканала'!#REF!/1000/1000*365</f>
        <v>#REF!</v>
      </c>
      <c r="R195" s="52" t="e">
        <f>R192*'[1]Свод и выручка Водоканала'!#REF!/1000/1000*365</f>
        <v>#REF!</v>
      </c>
      <c r="S195" s="52" t="e">
        <f>S192*'[1]Свод и выручка Водоканала'!#REF!/1000/1000*365</f>
        <v>#REF!</v>
      </c>
    </row>
    <row r="196" spans="1:19" s="33" customFormat="1" ht="31.5" hidden="1" x14ac:dyDescent="0.25">
      <c r="A196" s="45" t="s">
        <v>99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</row>
    <row r="197" spans="1:19" s="33" customFormat="1" ht="31.5" hidden="1" x14ac:dyDescent="0.25">
      <c r="A197" s="13" t="s">
        <v>99</v>
      </c>
      <c r="B197" s="40" t="s">
        <v>100</v>
      </c>
      <c r="C197" s="13" t="s">
        <v>88</v>
      </c>
      <c r="D197" s="37"/>
      <c r="E197" s="53" t="e">
        <f>('[1]Свод и выручка Водоканала'!#REF!*E192*'[1]Свод и выручка Водоканала'!#REF!+E192*'[1]Свод и выручка Водоканала'!#REF!*'[1]Свод и выручка Водоканала'!#REF!)/1000/1000*365</f>
        <v>#REF!</v>
      </c>
      <c r="F197" s="53" t="e">
        <f>('[1]Свод и выручка Водоканала'!#REF!*F192*'[1]Свод и выручка Водоканала'!#REF!+F192*'[1]Свод и выручка Водоканала'!#REF!*'[1]Свод и выручка Водоканала'!#REF!)/1000/1000*365</f>
        <v>#REF!</v>
      </c>
      <c r="G197" s="53" t="e">
        <f>('[1]Свод и выручка Водоканала'!#REF!*G192*'[1]Свод и выручка Водоканала'!#REF!+G192*'[1]Свод и выручка Водоканала'!#REF!*'[1]Свод и выручка Водоканала'!#REF!)/1000/1000*365</f>
        <v>#REF!</v>
      </c>
      <c r="H197" s="53" t="e">
        <f>('[1]Свод и выручка Водоканала'!#REF!*H192*'[1]Свод и выручка Водоканала'!#REF!+H192*'[1]Свод и выручка Водоканала'!#REF!*'[1]Свод и выручка Водоканала'!#REF!)/1000/1000*365</f>
        <v>#REF!</v>
      </c>
      <c r="I197" s="53" t="e">
        <f>('[1]Свод и выручка Водоканала'!#REF!*I192*'[1]Свод и выручка Водоканала'!#REF!+I192*'[1]Свод и выручка Водоканала'!#REF!*'[1]Свод и выручка Водоканала'!#REF!)/1000/1000*365</f>
        <v>#REF!</v>
      </c>
      <c r="J197" s="53" t="e">
        <f>('[1]Свод и выручка Водоканала'!#REF!*J192*'[1]Свод и выручка Водоканала'!#REF!+J192*'[1]Свод и выручка Водоканала'!#REF!*'[1]Свод и выручка Водоканала'!#REF!)/1000/1000*365</f>
        <v>#REF!</v>
      </c>
      <c r="K197" s="53" t="e">
        <f>('[1]Свод и выручка Водоканала'!#REF!*K192*'[1]Свод и выручка Водоканала'!#REF!+K192*'[1]Свод и выручка Водоканала'!#REF!*'[1]Свод и выручка Водоканала'!#REF!)/1000/1000*365</f>
        <v>#REF!</v>
      </c>
      <c r="L197" s="53" t="e">
        <f>('[1]Свод и выручка Водоканала'!#REF!*L192*'[1]Свод и выручка Водоканала'!#REF!+L192*'[1]Свод и выручка Водоканала'!#REF!*'[1]Свод и выручка Водоканала'!#REF!)/1000/1000*365</f>
        <v>#REF!</v>
      </c>
      <c r="M197" s="53" t="e">
        <f>('[1]Свод и выручка Водоканала'!#REF!*M192*'[1]Свод и выручка Водоканала'!#REF!+M192*'[1]Свод и выручка Водоканала'!#REF!*'[1]Свод и выручка Водоканала'!#REF!)/1000/1000*365</f>
        <v>#REF!</v>
      </c>
      <c r="N197" s="53" t="e">
        <f>('[1]Свод и выручка Водоканала'!#REF!*N192*'[1]Свод и выручка Водоканала'!#REF!+N192*'[1]Свод и выручка Водоканала'!#REF!*'[1]Свод и выручка Водоканала'!#REF!)/1000/1000*365</f>
        <v>#REF!</v>
      </c>
      <c r="O197" s="53" t="e">
        <f>('[1]Свод и выручка Водоканала'!#REF!*O192*'[1]Свод и выручка Водоканала'!#REF!+O192*'[1]Свод и выручка Водоканала'!#REF!*'[1]Свод и выручка Водоканала'!#REF!)/1000/1000*365</f>
        <v>#REF!</v>
      </c>
      <c r="P197" s="53" t="e">
        <f>('[1]Свод и выручка Водоканала'!#REF!*P192*'[1]Свод и выручка Водоканала'!#REF!+P192*'[1]Свод и выручка Водоканала'!#REF!*'[1]Свод и выручка Водоканала'!#REF!)/1000/1000*365</f>
        <v>#REF!</v>
      </c>
      <c r="Q197" s="53" t="e">
        <f>('[1]Свод и выручка Водоканала'!#REF!*Q192*'[1]Свод и выручка Водоканала'!#REF!+Q192*'[1]Свод и выручка Водоканала'!#REF!*'[1]Свод и выручка Водоканала'!#REF!)/1000/1000*365</f>
        <v>#REF!</v>
      </c>
      <c r="R197" s="53" t="e">
        <f>('[1]Свод и выручка Водоканала'!#REF!*R192*'[1]Свод и выручка Водоканала'!#REF!+R192*'[1]Свод и выручка Водоканала'!#REF!*'[1]Свод и выручка Водоканала'!#REF!)/1000/1000*365</f>
        <v>#REF!</v>
      </c>
      <c r="S197" s="53" t="e">
        <f>('[1]Свод и выручка Водоканала'!#REF!*S192*'[1]Свод и выручка Водоканала'!#REF!+S192*'[1]Свод и выручка Водоканала'!#REF!*'[1]Свод и выручка Водоканала'!#REF!)/1000/1000*365</f>
        <v>#REF!</v>
      </c>
    </row>
    <row r="198" spans="1:19" s="33" customFormat="1" hidden="1" x14ac:dyDescent="0.25">
      <c r="A198" s="13" t="s">
        <v>97</v>
      </c>
      <c r="B198" s="40" t="s">
        <v>100</v>
      </c>
      <c r="C198" s="13" t="s">
        <v>88</v>
      </c>
      <c r="D198" s="37"/>
      <c r="E198" s="53" t="e">
        <f>E192*'[1]Свод и выручка Водоканала'!#REF!*'[1]Свод и выручка Водоканала'!#REF!/1000/1000*365</f>
        <v>#REF!</v>
      </c>
      <c r="F198" s="53" t="e">
        <f>F192*'[1]Свод и выручка Водоканала'!#REF!*'[1]Свод и выручка Водоканала'!#REF!/1000/1000*365</f>
        <v>#REF!</v>
      </c>
      <c r="G198" s="53" t="e">
        <f>G192*'[1]Свод и выручка Водоканала'!#REF!*'[1]Свод и выручка Водоканала'!#REF!/1000/1000*365</f>
        <v>#REF!</v>
      </c>
      <c r="H198" s="53" t="e">
        <f>H192*'[1]Свод и выручка Водоканала'!#REF!*'[1]Свод и выручка Водоканала'!#REF!/1000/1000*365</f>
        <v>#REF!</v>
      </c>
      <c r="I198" s="53" t="e">
        <f>I192*'[1]Свод и выручка Водоканала'!#REF!*'[1]Свод и выручка Водоканала'!#REF!/1000/1000*365</f>
        <v>#REF!</v>
      </c>
      <c r="J198" s="53" t="e">
        <f>J192*'[1]Свод и выручка Водоканала'!#REF!*'[1]Свод и выручка Водоканала'!#REF!/1000/1000*365</f>
        <v>#REF!</v>
      </c>
      <c r="K198" s="53" t="e">
        <f>K192*'[1]Свод и выручка Водоканала'!#REF!*'[1]Свод и выручка Водоканала'!#REF!/1000/1000*365</f>
        <v>#REF!</v>
      </c>
      <c r="L198" s="53" t="e">
        <f>L192*'[1]Свод и выручка Водоканала'!#REF!*'[1]Свод и выручка Водоканала'!#REF!/1000/1000*365</f>
        <v>#REF!</v>
      </c>
      <c r="M198" s="53" t="e">
        <f>M192*'[1]Свод и выручка Водоканала'!#REF!*'[1]Свод и выручка Водоканала'!#REF!/1000/1000*365</f>
        <v>#REF!</v>
      </c>
      <c r="N198" s="53" t="e">
        <f>N192*'[1]Свод и выручка Водоканала'!#REF!*'[1]Свод и выручка Водоканала'!#REF!/1000/1000*365</f>
        <v>#REF!</v>
      </c>
      <c r="O198" s="53" t="e">
        <f>O192*'[1]Свод и выручка Водоканала'!#REF!*'[1]Свод и выручка Водоканала'!#REF!/1000/1000*365</f>
        <v>#REF!</v>
      </c>
      <c r="P198" s="53" t="e">
        <f>P192*'[1]Свод и выручка Водоканала'!#REF!*'[1]Свод и выручка Водоканала'!#REF!/1000/1000*365</f>
        <v>#REF!</v>
      </c>
      <c r="Q198" s="53" t="e">
        <f>Q192*'[1]Свод и выручка Водоканала'!#REF!*'[1]Свод и выручка Водоканала'!#REF!/1000/1000*365</f>
        <v>#REF!</v>
      </c>
      <c r="R198" s="53" t="e">
        <f>R192*'[1]Свод и выручка Водоканала'!#REF!*'[1]Свод и выручка Водоканала'!#REF!/1000/1000*365</f>
        <v>#REF!</v>
      </c>
      <c r="S198" s="53" t="e">
        <f>S192*'[1]Свод и выручка Водоканала'!#REF!*'[1]Свод и выручка Водоканала'!#REF!/1000/1000*365</f>
        <v>#REF!</v>
      </c>
    </row>
    <row r="199" spans="1:19" s="33" customFormat="1" hidden="1" x14ac:dyDescent="0.25">
      <c r="A199" s="13" t="s">
        <v>98</v>
      </c>
      <c r="B199" s="40" t="s">
        <v>100</v>
      </c>
      <c r="C199" s="13" t="s">
        <v>88</v>
      </c>
      <c r="D199" s="37"/>
      <c r="E199" s="53" t="e">
        <f>'[1]Свод и выручка Водоканала'!#REF!*E192*'[1]Свод и выручка Водоканала'!#REF!/1000/1000*365</f>
        <v>#REF!</v>
      </c>
      <c r="F199" s="53" t="e">
        <f>'[1]Свод и выручка Водоканала'!#REF!*F192*'[1]Свод и выручка Водоканала'!#REF!/1000/1000*365</f>
        <v>#REF!</v>
      </c>
      <c r="G199" s="53" t="e">
        <f>'[1]Свод и выручка Водоканала'!#REF!*G192*'[1]Свод и выручка Водоканала'!#REF!/1000/1000*365</f>
        <v>#REF!</v>
      </c>
      <c r="H199" s="53" t="e">
        <f>'[1]Свод и выручка Водоканала'!#REF!*H192*'[1]Свод и выручка Водоканала'!#REF!/1000/1000*365</f>
        <v>#REF!</v>
      </c>
      <c r="I199" s="53" t="e">
        <f>'[1]Свод и выручка Водоканала'!#REF!*I192*'[1]Свод и выручка Водоканала'!#REF!/1000/1000*365</f>
        <v>#REF!</v>
      </c>
      <c r="J199" s="53" t="e">
        <f>'[1]Свод и выручка Водоканала'!#REF!*J192*'[1]Свод и выручка Водоканала'!#REF!/1000/1000*365</f>
        <v>#REF!</v>
      </c>
      <c r="K199" s="53" t="e">
        <f>'[1]Свод и выручка Водоканала'!#REF!*K192*'[1]Свод и выручка Водоканала'!#REF!/1000/1000*365</f>
        <v>#REF!</v>
      </c>
      <c r="L199" s="53" t="e">
        <f>'[1]Свод и выручка Водоканала'!#REF!*L192*'[1]Свод и выручка Водоканала'!#REF!/1000/1000*365</f>
        <v>#REF!</v>
      </c>
      <c r="M199" s="53" t="e">
        <f>'[1]Свод и выручка Водоканала'!#REF!*M192*'[1]Свод и выручка Водоканала'!#REF!/1000/1000*365</f>
        <v>#REF!</v>
      </c>
      <c r="N199" s="53" t="e">
        <f>'[1]Свод и выручка Водоканала'!#REF!*N192*'[1]Свод и выручка Водоканала'!#REF!/1000/1000*365</f>
        <v>#REF!</v>
      </c>
      <c r="O199" s="53" t="e">
        <f>'[1]Свод и выручка Водоканала'!#REF!*O192*'[1]Свод и выручка Водоканала'!#REF!/1000/1000*365</f>
        <v>#REF!</v>
      </c>
      <c r="P199" s="53" t="e">
        <f>'[1]Свод и выручка Водоканала'!#REF!*P192*'[1]Свод и выручка Водоканала'!#REF!/1000/1000*365</f>
        <v>#REF!</v>
      </c>
      <c r="Q199" s="53" t="e">
        <f>'[1]Свод и выручка Водоканала'!#REF!*Q192*'[1]Свод и выручка Водоканала'!#REF!/1000/1000*365</f>
        <v>#REF!</v>
      </c>
      <c r="R199" s="53" t="e">
        <f>'[1]Свод и выручка Водоканала'!#REF!*R192*'[1]Свод и выручка Водоканала'!#REF!/1000/1000*365</f>
        <v>#REF!</v>
      </c>
      <c r="S199" s="53" t="e">
        <f>'[1]Свод и выручка Водоканала'!#REF!*S192*'[1]Свод и выручка Водоканала'!#REF!/1000/1000*365</f>
        <v>#REF!</v>
      </c>
    </row>
  </sheetData>
  <mergeCells count="1">
    <mergeCell ref="A92:H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90" zoomScaleNormal="90" workbookViewId="0">
      <selection activeCell="P7" sqref="P7"/>
    </sheetView>
  </sheetViews>
  <sheetFormatPr defaultRowHeight="18.75" x14ac:dyDescent="0.3"/>
  <cols>
    <col min="1" max="1" width="32.21875" customWidth="1"/>
    <col min="2" max="2" width="10.33203125" bestFit="1" customWidth="1"/>
    <col min="3" max="3" width="10" bestFit="1" customWidth="1"/>
    <col min="4" max="4" width="10.33203125" bestFit="1" customWidth="1"/>
    <col min="5" max="8" width="10" bestFit="1" customWidth="1"/>
    <col min="9" max="15" width="10.109375" bestFit="1" customWidth="1"/>
    <col min="16" max="17" width="13.6640625" bestFit="1" customWidth="1"/>
  </cols>
  <sheetData>
    <row r="1" spans="1:17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x14ac:dyDescent="0.3">
      <c r="A2" s="57" t="s">
        <v>346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x14ac:dyDescent="0.3">
      <c r="A3" s="5" t="s">
        <v>2</v>
      </c>
      <c r="B3" s="6">
        <v>2022</v>
      </c>
      <c r="C3" s="6">
        <v>2023</v>
      </c>
      <c r="D3" s="6">
        <v>2024</v>
      </c>
      <c r="E3" s="6">
        <v>2025</v>
      </c>
      <c r="F3" s="6">
        <v>2026</v>
      </c>
      <c r="G3" s="6">
        <v>2027</v>
      </c>
      <c r="H3" s="6">
        <v>2028</v>
      </c>
      <c r="I3" s="6">
        <v>2029</v>
      </c>
      <c r="J3" s="6">
        <v>2030</v>
      </c>
      <c r="K3" s="6">
        <v>2031</v>
      </c>
      <c r="L3" s="6">
        <v>2032</v>
      </c>
      <c r="M3" s="6">
        <v>2033</v>
      </c>
      <c r="N3" s="6">
        <v>2034</v>
      </c>
      <c r="O3" s="6">
        <v>2035</v>
      </c>
      <c r="P3" s="5" t="s">
        <v>70</v>
      </c>
    </row>
    <row r="4" spans="1:17" ht="38.25" customHeight="1" x14ac:dyDescent="0.3">
      <c r="A4" s="100" t="s">
        <v>318</v>
      </c>
      <c r="B4" s="101">
        <f>'Водопроводные сети'!F51*1.2</f>
        <v>1672654.0372678521</v>
      </c>
      <c r="C4" s="101">
        <f>'Водопроводные сети'!G51*1.2</f>
        <v>1739560.1987585661</v>
      </c>
      <c r="D4" s="101">
        <f>'Водопроводные сети'!H51*1.2</f>
        <v>1809142.6067089085</v>
      </c>
      <c r="E4" s="101">
        <f>'Водопроводные сети'!I51*1.2</f>
        <v>1881508.3109772645</v>
      </c>
      <c r="F4" s="101">
        <f>'Водопроводные сети'!J51*1.2</f>
        <v>1956768.6434163551</v>
      </c>
      <c r="G4" s="101">
        <f>'Водопроводные сети'!K51*1.2</f>
        <v>2035039.3891530093</v>
      </c>
      <c r="H4" s="101">
        <f>'Водопроводные сети'!L51*1.2</f>
        <v>2116440.9647191297</v>
      </c>
      <c r="I4" s="101">
        <f>'Водопроводные сети'!M51*1.2</f>
        <v>2201098.6033078949</v>
      </c>
      <c r="J4" s="101">
        <f>'Водопроводные сети'!N51*1.2</f>
        <v>2289142.5474402108</v>
      </c>
      <c r="K4" s="101">
        <f>'Водопроводные сети'!O51*1.2</f>
        <v>2380708.2493378189</v>
      </c>
      <c r="L4" s="101">
        <f>'Водопроводные сети'!P51*1.2</f>
        <v>2475936.5793113317</v>
      </c>
      <c r="M4" s="101">
        <f>'Водопроводные сети'!Q51*1.2</f>
        <v>2574974.0424837847</v>
      </c>
      <c r="N4" s="101">
        <f>'Водопроводные сети'!R51*1.2</f>
        <v>2677973.0041831364</v>
      </c>
      <c r="O4" s="101">
        <f>'Водопроводные сети'!S51*1.2</f>
        <v>2785091.9243504624</v>
      </c>
      <c r="P4" s="101">
        <f>'Водопроводные сети'!T51*1.2</f>
        <v>30596039.101415727</v>
      </c>
      <c r="Q4" s="104"/>
    </row>
    <row r="5" spans="1:17" ht="35.25" customHeight="1" x14ac:dyDescent="0.3">
      <c r="A5" s="102" t="s">
        <v>319</v>
      </c>
      <c r="B5" s="103">
        <f>'Канализационные сети'!F51*1.2</f>
        <v>882155.60399216891</v>
      </c>
      <c r="C5" s="103">
        <f>'Канализационные сети'!G51*1.2</f>
        <v>917441.82815185562</v>
      </c>
      <c r="D5" s="103">
        <f>'Канализационные сети'!H51*1.2</f>
        <v>954139.50127792975</v>
      </c>
      <c r="E5" s="103">
        <f>'Канализационные сети'!I51*1.2</f>
        <v>992305.08132904698</v>
      </c>
      <c r="F5" s="103">
        <f>'Канализационные сети'!J51*1.2</f>
        <v>1031997.2845822088</v>
      </c>
      <c r="G5" s="103">
        <f>'Канализационные сети'!K51*1.2</f>
        <v>1073277.1759654973</v>
      </c>
      <c r="H5" s="103">
        <f>'Канализационные сети'!L51*1.2</f>
        <v>1116208.2630041169</v>
      </c>
      <c r="I5" s="103">
        <f>'Канализационные сети'!M51*1.2</f>
        <v>1160856.5935242816</v>
      </c>
      <c r="J5" s="103">
        <f>'Канализационные сети'!N51*1.2</f>
        <v>1207290.8572652529</v>
      </c>
      <c r="K5" s="103">
        <f>'Канализационные сети'!O51*1.2</f>
        <v>1255582.4915558631</v>
      </c>
      <c r="L5" s="103">
        <f>'Канализационные сети'!P51*1.2</f>
        <v>1305805.7912180976</v>
      </c>
      <c r="M5" s="103">
        <f>'Канализационные сети'!Q51*1.2</f>
        <v>1358038.0228668214</v>
      </c>
      <c r="N5" s="103">
        <f>'Канализационные сети'!R51*1.2</f>
        <v>1412359.5437814943</v>
      </c>
      <c r="O5" s="103">
        <f>'Канализационные сети'!S51*1.2</f>
        <v>1468853.925532754</v>
      </c>
      <c r="P5" s="103">
        <f>'Канализационные сети'!T51*1.2</f>
        <v>16136311.964047389</v>
      </c>
      <c r="Q5" s="104"/>
    </row>
    <row r="6" spans="1:17" ht="51" customHeight="1" x14ac:dyDescent="0.3">
      <c r="A6" s="100" t="s">
        <v>341</v>
      </c>
      <c r="B6" s="101">
        <f>'Сооружения водоснабжения'!F85*1.2</f>
        <v>0</v>
      </c>
      <c r="C6" s="101">
        <f>'Сооружения водоснабжения'!G85*1.2</f>
        <v>63461.882823333639</v>
      </c>
      <c r="D6" s="101">
        <f>'Сооружения водоснабжения'!H85*1.2</f>
        <v>107048.15160961103</v>
      </c>
      <c r="E6" s="101">
        <f>'Сооружения водоснабжения'!I85*1.2</f>
        <v>29213.185623152393</v>
      </c>
      <c r="F6" s="101">
        <f>'Сооружения водоснабжения'!J85*1.2</f>
        <v>115090.83962806496</v>
      </c>
      <c r="G6" s="101">
        <f>'Сооружения водоснабжения'!K85*1.2</f>
        <v>0</v>
      </c>
      <c r="H6" s="101">
        <f>'Сооружения водоснабжения'!L85*1.2</f>
        <v>91188.799815084829</v>
      </c>
      <c r="I6" s="101">
        <f>'Сооружения водоснабжения'!M85*1.2</f>
        <v>57869.5742936436</v>
      </c>
      <c r="J6" s="101">
        <f>'Сооружения водоснабжения'!N85*1.2</f>
        <v>69156.337056538672</v>
      </c>
      <c r="K6" s="101">
        <f>'Сооружения водоснабжения'!O85*1.2</f>
        <v>0</v>
      </c>
      <c r="L6" s="101">
        <f>'Сооружения водоснабжения'!P85*1.2</f>
        <v>0</v>
      </c>
      <c r="M6" s="101">
        <f>'Сооружения водоснабжения'!Q85*1.2</f>
        <v>0</v>
      </c>
      <c r="N6" s="101">
        <f>'Сооружения водоснабжения'!R85*1.2</f>
        <v>0</v>
      </c>
      <c r="O6" s="101">
        <f>'Сооружения водоснабжения'!S85*1.2</f>
        <v>0</v>
      </c>
      <c r="P6" s="101">
        <f>'Сооружения водоснабжения'!T85*1.2</f>
        <v>533028.77084942907</v>
      </c>
      <c r="Q6" s="104"/>
    </row>
    <row r="7" spans="1:17" ht="53.25" customHeight="1" x14ac:dyDescent="0.3">
      <c r="A7" s="102" t="s">
        <v>320</v>
      </c>
      <c r="B7" s="103">
        <f>'Сооружения водоотведения'!F140*1.2</f>
        <v>0</v>
      </c>
      <c r="C7" s="103">
        <f>'Сооружения водоотведения'!G140*1.2</f>
        <v>239804.1015552</v>
      </c>
      <c r="D7" s="103">
        <f>'Сооружения водоотведения'!H140*1.2</f>
        <v>134311.79682343084</v>
      </c>
      <c r="E7" s="103">
        <f>'Сооружения водоотведения'!I140*1.2</f>
        <v>0</v>
      </c>
      <c r="F7" s="103">
        <f>'Сооружения водоотведения'!J140*1.2</f>
        <v>24594.014814404341</v>
      </c>
      <c r="G7" s="103">
        <f>'Сооружения водоотведения'!K140*1.2</f>
        <v>613375.03061125136</v>
      </c>
      <c r="H7" s="103">
        <f>'Сооружения водоотведения'!L140*1.2</f>
        <v>613375.03061125136</v>
      </c>
      <c r="I7" s="103">
        <f>'Сооружения водоотведения'!M140*1.2</f>
        <v>765089.3758168217</v>
      </c>
      <c r="J7" s="103">
        <f>'Сооружения водоотведения'!N140*1.2</f>
        <v>978358.0587058441</v>
      </c>
      <c r="K7" s="103">
        <f>'Сооружения водоотведения'!O140*1.2</f>
        <v>486417.92076880904</v>
      </c>
      <c r="L7" s="103">
        <f>'Сооружения водоотведения'!P140*1.2</f>
        <v>895811.90694156149</v>
      </c>
      <c r="M7" s="103">
        <f>'Сооружения водоотведения'!Q140*1.2</f>
        <v>911994.94030864642</v>
      </c>
      <c r="N7" s="103">
        <f>'Сооружения водоотведения'!R140*1.2</f>
        <v>911994.94030864642</v>
      </c>
      <c r="O7" s="103">
        <f>'Сооружения водоотведения'!S140*1.2</f>
        <v>682543.22405253898</v>
      </c>
      <c r="P7" s="103">
        <f>'Сооружения водоотведения'!T140*1.2</f>
        <v>7257670.3413184071</v>
      </c>
      <c r="Q7" s="104"/>
    </row>
    <row r="8" spans="1:17" x14ac:dyDescent="0.3">
      <c r="A8" s="100" t="s">
        <v>343</v>
      </c>
      <c r="B8" s="101">
        <f>B4+B6</f>
        <v>1672654.0372678521</v>
      </c>
      <c r="C8" s="101">
        <f t="shared" ref="C8:O8" si="0">C4+C6</f>
        <v>1803022.0815818997</v>
      </c>
      <c r="D8" s="101">
        <f t="shared" si="0"/>
        <v>1916190.7583185195</v>
      </c>
      <c r="E8" s="101">
        <f t="shared" si="0"/>
        <v>1910721.496600417</v>
      </c>
      <c r="F8" s="101">
        <f t="shared" si="0"/>
        <v>2071859.4830444201</v>
      </c>
      <c r="G8" s="101">
        <f t="shared" si="0"/>
        <v>2035039.3891530093</v>
      </c>
      <c r="H8" s="101">
        <f t="shared" si="0"/>
        <v>2207629.7645342145</v>
      </c>
      <c r="I8" s="101">
        <f t="shared" si="0"/>
        <v>2258968.1776015386</v>
      </c>
      <c r="J8" s="101">
        <f t="shared" si="0"/>
        <v>2358298.8844967494</v>
      </c>
      <c r="K8" s="101">
        <f t="shared" si="0"/>
        <v>2380708.2493378189</v>
      </c>
      <c r="L8" s="101">
        <f t="shared" si="0"/>
        <v>2475936.5793113317</v>
      </c>
      <c r="M8" s="101">
        <f t="shared" si="0"/>
        <v>2574974.0424837847</v>
      </c>
      <c r="N8" s="101">
        <f t="shared" si="0"/>
        <v>2677973.0041831364</v>
      </c>
      <c r="O8" s="101">
        <f t="shared" si="0"/>
        <v>2785091.9243504624</v>
      </c>
      <c r="P8" s="101">
        <f>SUM(B8:O8)</f>
        <v>31129067.872265153</v>
      </c>
      <c r="Q8" s="104"/>
    </row>
    <row r="9" spans="1:17" x14ac:dyDescent="0.3">
      <c r="A9" s="102" t="s">
        <v>344</v>
      </c>
      <c r="B9" s="103">
        <f>B5+B7</f>
        <v>882155.60399216891</v>
      </c>
      <c r="C9" s="103">
        <f t="shared" ref="C9:O9" si="1">C5+C7</f>
        <v>1157245.9297070557</v>
      </c>
      <c r="D9" s="103">
        <f t="shared" si="1"/>
        <v>1088451.2981013607</v>
      </c>
      <c r="E9" s="103">
        <f t="shared" si="1"/>
        <v>992305.08132904698</v>
      </c>
      <c r="F9" s="103">
        <f t="shared" si="1"/>
        <v>1056591.2993966131</v>
      </c>
      <c r="G9" s="103">
        <f t="shared" si="1"/>
        <v>1686652.2065767488</v>
      </c>
      <c r="H9" s="103">
        <f t="shared" si="1"/>
        <v>1729583.2936153682</v>
      </c>
      <c r="I9" s="103">
        <f t="shared" si="1"/>
        <v>1925945.9693411035</v>
      </c>
      <c r="J9" s="103">
        <f t="shared" si="1"/>
        <v>2185648.9159710971</v>
      </c>
      <c r="K9" s="103">
        <f t="shared" si="1"/>
        <v>1742000.4123246721</v>
      </c>
      <c r="L9" s="103">
        <f t="shared" si="1"/>
        <v>2201617.6981596593</v>
      </c>
      <c r="M9" s="103">
        <f t="shared" si="1"/>
        <v>2270032.9631754677</v>
      </c>
      <c r="N9" s="103">
        <f t="shared" si="1"/>
        <v>2324354.4840901406</v>
      </c>
      <c r="O9" s="103">
        <f t="shared" si="1"/>
        <v>2151397.1495852931</v>
      </c>
      <c r="P9" s="103">
        <f>SUM(B9:O9)</f>
        <v>23393982.305365793</v>
      </c>
      <c r="Q9" s="104"/>
    </row>
    <row r="10" spans="1:17" x14ac:dyDescent="0.3">
      <c r="A10" s="31" t="s">
        <v>342</v>
      </c>
      <c r="B10" s="109">
        <f>B8+B9</f>
        <v>2554809.6412600209</v>
      </c>
      <c r="C10" s="109">
        <f t="shared" ref="C10:P10" si="2">C8+C9</f>
        <v>2960268.0112889553</v>
      </c>
      <c r="D10" s="109">
        <f t="shared" si="2"/>
        <v>3004642.0564198801</v>
      </c>
      <c r="E10" s="109">
        <f t="shared" si="2"/>
        <v>2903026.5779294642</v>
      </c>
      <c r="F10" s="109">
        <f t="shared" si="2"/>
        <v>3128450.7824410331</v>
      </c>
      <c r="G10" s="109">
        <f t="shared" si="2"/>
        <v>3721691.595729758</v>
      </c>
      <c r="H10" s="109">
        <f t="shared" si="2"/>
        <v>3937213.0581495827</v>
      </c>
      <c r="I10" s="109">
        <f t="shared" si="2"/>
        <v>4184914.1469426421</v>
      </c>
      <c r="J10" s="109">
        <f t="shared" si="2"/>
        <v>4543947.8004678469</v>
      </c>
      <c r="K10" s="109">
        <f t="shared" si="2"/>
        <v>4122708.661662491</v>
      </c>
      <c r="L10" s="109">
        <f t="shared" si="2"/>
        <v>4677554.277470991</v>
      </c>
      <c r="M10" s="109">
        <f t="shared" si="2"/>
        <v>4845007.0056592524</v>
      </c>
      <c r="N10" s="109">
        <f t="shared" si="2"/>
        <v>5002327.4882732769</v>
      </c>
      <c r="O10" s="109">
        <f t="shared" si="2"/>
        <v>4936489.0739357555</v>
      </c>
      <c r="P10" s="109">
        <f t="shared" si="2"/>
        <v>54523050.177630946</v>
      </c>
      <c r="Q10" s="104"/>
    </row>
    <row r="11" spans="1:17" ht="31.5" x14ac:dyDescent="0.3">
      <c r="A11" s="105" t="s">
        <v>347</v>
      </c>
      <c r="B11" s="106">
        <v>8015526.9432486985</v>
      </c>
      <c r="C11" s="106">
        <v>8328132.4940353967</v>
      </c>
      <c r="D11" s="106">
        <v>8652929.6613027789</v>
      </c>
      <c r="E11" s="106">
        <v>8990393.9180935845</v>
      </c>
      <c r="F11" s="106">
        <v>9233134.5538821109</v>
      </c>
      <c r="G11" s="106">
        <v>9482429.1868369263</v>
      </c>
      <c r="H11" s="106">
        <v>9738454.7748815231</v>
      </c>
      <c r="I11" s="106">
        <v>10001393.053803325</v>
      </c>
      <c r="J11" s="106">
        <v>10271430.666256012</v>
      </c>
      <c r="K11" s="106">
        <v>10548759.294244925</v>
      </c>
      <c r="L11" s="106">
        <v>10833575.795189537</v>
      </c>
      <c r="M11" s="106">
        <v>11126082.341659654</v>
      </c>
      <c r="N11" s="106">
        <v>11426486.564884463</v>
      </c>
      <c r="O11" s="106">
        <v>11735001.702136341</v>
      </c>
      <c r="P11" s="110">
        <f>SUM(B11:O11)</f>
        <v>138383730.95045528</v>
      </c>
      <c r="Q11" s="104"/>
    </row>
    <row r="12" spans="1:17" x14ac:dyDescent="0.3">
      <c r="A12" s="89" t="s">
        <v>97</v>
      </c>
      <c r="B12" s="107">
        <v>5152086.4177100994</v>
      </c>
      <c r="C12" s="107">
        <v>5353017.7880007923</v>
      </c>
      <c r="D12" s="107">
        <v>5561785.4817328239</v>
      </c>
      <c r="E12" s="107">
        <v>5778695.1155204028</v>
      </c>
      <c r="F12" s="107">
        <v>5934719.883639453</v>
      </c>
      <c r="G12" s="107">
        <v>6094957.3204977177</v>
      </c>
      <c r="H12" s="107">
        <v>6259521.168151156</v>
      </c>
      <c r="I12" s="107">
        <v>6428528.2396912361</v>
      </c>
      <c r="J12" s="107">
        <v>6602098.5021628989</v>
      </c>
      <c r="K12" s="107">
        <v>6780355.1617212975</v>
      </c>
      <c r="L12" s="107">
        <v>6963424.7510877717</v>
      </c>
      <c r="M12" s="107">
        <v>7151437.2193671409</v>
      </c>
      <c r="N12" s="107">
        <v>7344526.0242900532</v>
      </c>
      <c r="O12" s="107">
        <v>7542828.2269458836</v>
      </c>
      <c r="P12" s="111">
        <f>SUM(B12:O12)</f>
        <v>88947981.300518706</v>
      </c>
    </row>
    <row r="13" spans="1:17" x14ac:dyDescent="0.3">
      <c r="A13" s="93" t="s">
        <v>98</v>
      </c>
      <c r="B13" s="108">
        <v>2863440.5255385996</v>
      </c>
      <c r="C13" s="108">
        <v>2975114.7060346049</v>
      </c>
      <c r="D13" s="108">
        <v>3091144.1795699541</v>
      </c>
      <c r="E13" s="108">
        <v>3211698.8025731822</v>
      </c>
      <c r="F13" s="108">
        <v>3298414.6702426574</v>
      </c>
      <c r="G13" s="108">
        <v>3387471.866339209</v>
      </c>
      <c r="H13" s="108">
        <v>3478933.606730368</v>
      </c>
      <c r="I13" s="108">
        <v>3572864.8141120877</v>
      </c>
      <c r="J13" s="108">
        <v>3669332.164093114</v>
      </c>
      <c r="K13" s="108">
        <v>3768404.1325236275</v>
      </c>
      <c r="L13" s="108">
        <v>3870151.0441017649</v>
      </c>
      <c r="M13" s="108">
        <v>3974645.1222925121</v>
      </c>
      <c r="N13" s="108">
        <v>4081960.5405944097</v>
      </c>
      <c r="O13" s="108">
        <v>4192173.4751904588</v>
      </c>
      <c r="P13" s="112">
        <f>SUM(B13:O13)</f>
        <v>49435749.649936549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Водопроводные сети</vt:lpstr>
      <vt:lpstr>Канализационные сети</vt:lpstr>
      <vt:lpstr>Сооружения водоснабжения</vt:lpstr>
      <vt:lpstr>Сооружения водоотведения</vt:lpstr>
      <vt:lpstr>Свод и выручка Водоканала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Колесников</dc:creator>
  <cp:lastModifiedBy>Игорь Колесников</cp:lastModifiedBy>
  <dcterms:created xsi:type="dcterms:W3CDTF">2022-05-16T09:43:25Z</dcterms:created>
  <dcterms:modified xsi:type="dcterms:W3CDTF">2022-06-23T11:14:53Z</dcterms:modified>
</cp:coreProperties>
</file>